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2021\2021-08\2021-08-09\"/>
    </mc:Choice>
  </mc:AlternateContent>
  <xr:revisionPtr revIDLastSave="0" documentId="13_ncr:1_{FA272FEB-56FC-4317-8885-069964FE0FC6}" xr6:coauthVersionLast="36" xr6:coauthVersionMax="36" xr10:uidLastSave="{00000000-0000-0000-0000-000000000000}"/>
  <bookViews>
    <workbookView xWindow="240" yWindow="120" windowWidth="14220" windowHeight="8832" xr2:uid="{00000000-000D-0000-FFFF-FFFF00000000}"/>
  </bookViews>
  <sheets>
    <sheet name="AP-fonderna" sheetId="5" r:id="rId1"/>
    <sheet name="Tabell AP-fonderna" sheetId="2" r:id="rId2"/>
    <sheet name="Tabell avgifter" sheetId="3" r:id="rId3"/>
    <sheet name="Beräkning" sheetId="1" r:id="rId4"/>
  </sheets>
  <calcPr calcId="191029"/>
</workbook>
</file>

<file path=xl/calcChain.xml><?xml version="1.0" encoding="utf-8"?>
<calcChain xmlns="http://schemas.openxmlformats.org/spreadsheetml/2006/main">
  <c r="X68" i="2" l="1"/>
  <c r="W68" i="2"/>
  <c r="U68" i="2"/>
  <c r="T68" i="2"/>
  <c r="R68" i="2"/>
  <c r="Q68" i="2"/>
  <c r="O68" i="2"/>
  <c r="M68" i="2"/>
  <c r="K68" i="2"/>
  <c r="I68" i="2"/>
  <c r="H68" i="2"/>
  <c r="F68" i="2"/>
  <c r="D68" i="2"/>
  <c r="C68" i="2"/>
  <c r="AL2" i="1" l="1"/>
  <c r="AJ3" i="1" s="1"/>
  <c r="AA5" i="2"/>
  <c r="V2" i="1" s="1"/>
  <c r="X2" i="1" s="1"/>
  <c r="AR69" i="1"/>
  <c r="AQ69" i="1"/>
  <c r="AP69" i="1"/>
  <c r="AN69" i="1"/>
  <c r="AM69" i="1" s="1"/>
  <c r="AL69" i="1"/>
  <c r="AJ69" i="1"/>
  <c r="AG69" i="1"/>
  <c r="AC69" i="1"/>
  <c r="AB69" i="1"/>
  <c r="AA69" i="1"/>
  <c r="Y69" i="1"/>
  <c r="X69" i="1" s="1"/>
  <c r="W69" i="1"/>
  <c r="S69" i="1"/>
  <c r="P69" i="1"/>
  <c r="Q69" i="1"/>
  <c r="N69" i="1"/>
  <c r="K69" i="1"/>
  <c r="F69" i="1"/>
  <c r="AI3" i="1" l="1"/>
  <c r="M67" i="2" l="1"/>
  <c r="I67" i="2"/>
  <c r="H67" i="2"/>
  <c r="D67" i="2"/>
  <c r="C67" i="2"/>
  <c r="AG68" i="1"/>
  <c r="S68" i="1"/>
  <c r="Q68" i="1"/>
  <c r="O67" i="2" s="1"/>
  <c r="K68" i="1"/>
  <c r="F68" i="1"/>
  <c r="F67" i="2" s="1"/>
  <c r="P68" i="1" l="1"/>
  <c r="Q67" i="2"/>
  <c r="K67" i="2"/>
  <c r="AJ68" i="1"/>
  <c r="R67" i="2" l="1"/>
  <c r="Q66" i="2"/>
  <c r="O66" i="2"/>
  <c r="M66" i="2"/>
  <c r="K66" i="2"/>
  <c r="I66" i="2"/>
  <c r="H66" i="2"/>
  <c r="D66" i="2"/>
  <c r="C66" i="2"/>
  <c r="AG67" i="1"/>
  <c r="AJ67" i="1" s="1"/>
  <c r="S67" i="1"/>
  <c r="Q67" i="1"/>
  <c r="K67" i="1"/>
  <c r="F67" i="1"/>
  <c r="P67" i="1" s="1"/>
  <c r="R66" i="2" l="1"/>
  <c r="F66" i="2"/>
  <c r="M65" i="2"/>
  <c r="K65" i="2"/>
  <c r="I65" i="2"/>
  <c r="H65" i="2"/>
  <c r="F65" i="2"/>
  <c r="D65" i="2"/>
  <c r="C65" i="2"/>
  <c r="AG66" i="1"/>
  <c r="S66" i="1"/>
  <c r="P66" i="1"/>
  <c r="Q66" i="1"/>
  <c r="O65" i="2" s="1"/>
  <c r="K66" i="1"/>
  <c r="F66" i="1"/>
  <c r="Q65" i="2" l="1"/>
  <c r="AJ66" i="1"/>
  <c r="Q64" i="2"/>
  <c r="O64" i="2"/>
  <c r="M64" i="2"/>
  <c r="I64" i="2"/>
  <c r="H64" i="2"/>
  <c r="D64" i="2"/>
  <c r="C64" i="2"/>
  <c r="AG65" i="1"/>
  <c r="AJ65" i="1" s="1"/>
  <c r="S65" i="1"/>
  <c r="Q65" i="1"/>
  <c r="K65" i="1"/>
  <c r="K64" i="2" s="1"/>
  <c r="F65" i="1"/>
  <c r="F64" i="2" s="1"/>
  <c r="R64" i="2" l="1"/>
  <c r="P65" i="1"/>
  <c r="R65" i="2"/>
  <c r="Q63" i="2"/>
  <c r="M63" i="2"/>
  <c r="I63" i="2"/>
  <c r="H63" i="2"/>
  <c r="D63" i="2"/>
  <c r="C63" i="2"/>
  <c r="AG64" i="1"/>
  <c r="S64" i="1"/>
  <c r="Q64" i="1"/>
  <c r="O63" i="2" s="1"/>
  <c r="K64" i="1"/>
  <c r="K63" i="2" s="1"/>
  <c r="F64" i="1"/>
  <c r="F63" i="2" s="1"/>
  <c r="AJ64" i="1" l="1"/>
  <c r="R63" i="2" s="1"/>
  <c r="P64" i="1"/>
  <c r="M62" i="2" l="1"/>
  <c r="I62" i="2"/>
  <c r="H62" i="2"/>
  <c r="D62" i="2"/>
  <c r="C62" i="2"/>
  <c r="AG63" i="1" l="1"/>
  <c r="S63" i="1"/>
  <c r="Q63" i="1"/>
  <c r="O62" i="2" s="1"/>
  <c r="K63" i="1"/>
  <c r="F63" i="1"/>
  <c r="F62" i="2" l="1"/>
  <c r="P63" i="1"/>
  <c r="K62" i="2"/>
  <c r="Q62" i="2"/>
  <c r="AJ63" i="1"/>
  <c r="R62" i="2" s="1"/>
  <c r="AR51" i="1"/>
  <c r="AC51" i="1"/>
  <c r="M61" i="2" l="1"/>
  <c r="I61" i="2"/>
  <c r="H61" i="2"/>
  <c r="D61" i="2"/>
  <c r="C61" i="2"/>
  <c r="M60" i="2"/>
  <c r="I60" i="2"/>
  <c r="H60" i="2"/>
  <c r="D60" i="2"/>
  <c r="C60" i="2"/>
  <c r="AG62" i="1" l="1"/>
  <c r="S62" i="1"/>
  <c r="Q62" i="1"/>
  <c r="O61" i="2" s="1"/>
  <c r="K62" i="1"/>
  <c r="F62" i="1"/>
  <c r="P62" i="1" l="1"/>
  <c r="F61" i="2"/>
  <c r="AJ62" i="1"/>
  <c r="R61" i="2" s="1"/>
  <c r="Q61" i="2"/>
  <c r="K61" i="2"/>
  <c r="A59" i="3" l="1"/>
  <c r="AG61" i="1"/>
  <c r="S61" i="1"/>
  <c r="Q60" i="2" s="1"/>
  <c r="Q61" i="1"/>
  <c r="O60" i="2" s="1"/>
  <c r="K61" i="1"/>
  <c r="K60" i="2" s="1"/>
  <c r="F61" i="1"/>
  <c r="P61" i="1" l="1"/>
  <c r="F60" i="2"/>
  <c r="AJ61" i="1"/>
  <c r="R60" i="2" l="1"/>
  <c r="AA4" i="2"/>
  <c r="AG60" i="1" l="1"/>
  <c r="S60" i="1"/>
  <c r="AJ60" i="1" s="1"/>
  <c r="R59" i="2" s="1"/>
  <c r="Q60" i="1"/>
  <c r="O59" i="2" s="1"/>
  <c r="M59" i="2"/>
  <c r="K60" i="1"/>
  <c r="K59" i="2" s="1"/>
  <c r="I59" i="2"/>
  <c r="H59" i="2"/>
  <c r="D59" i="2"/>
  <c r="C59" i="2"/>
  <c r="F60" i="1"/>
  <c r="F59" i="2" l="1"/>
  <c r="P60" i="1"/>
  <c r="Q59" i="2"/>
  <c r="U2" i="1"/>
  <c r="J41" i="1"/>
  <c r="U3" i="1" l="1"/>
  <c r="AG9" i="1"/>
  <c r="V3" i="1" l="1"/>
  <c r="AJ2" i="1"/>
  <c r="AI2" i="1"/>
  <c r="AG31" i="1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S57" i="1" l="1"/>
  <c r="S56" i="1"/>
  <c r="S55" i="1"/>
  <c r="S54" i="1"/>
  <c r="S53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Q56" i="1"/>
  <c r="Q55" i="1"/>
  <c r="Q54" i="1"/>
  <c r="Q53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E44" i="2"/>
  <c r="H10" i="2"/>
  <c r="H9" i="2"/>
  <c r="H8" i="2"/>
  <c r="E40" i="2"/>
  <c r="E39" i="2"/>
  <c r="E38" i="2"/>
  <c r="E37" i="2"/>
  <c r="E36" i="2"/>
  <c r="E35" i="2"/>
  <c r="E34" i="2"/>
  <c r="E33" i="2"/>
  <c r="E32" i="2"/>
  <c r="E31" i="2"/>
  <c r="I58" i="2"/>
  <c r="H58" i="2"/>
  <c r="D58" i="2"/>
  <c r="C5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I57" i="2"/>
  <c r="H57" i="2"/>
  <c r="D57" i="2"/>
  <c r="C57" i="2"/>
  <c r="I56" i="2"/>
  <c r="H56" i="2"/>
  <c r="D56" i="2"/>
  <c r="C56" i="2"/>
  <c r="I55" i="2"/>
  <c r="H55" i="2"/>
  <c r="D55" i="2"/>
  <c r="C55" i="2"/>
  <c r="I54" i="2"/>
  <c r="H54" i="2"/>
  <c r="D54" i="2"/>
  <c r="C54" i="2"/>
  <c r="I53" i="2"/>
  <c r="H53" i="2"/>
  <c r="D53" i="2"/>
  <c r="C53" i="2"/>
  <c r="Q52" i="2"/>
  <c r="J52" i="2"/>
  <c r="I52" i="2"/>
  <c r="H52" i="2"/>
  <c r="D52" i="2"/>
  <c r="C52" i="2"/>
  <c r="H51" i="2"/>
  <c r="C51" i="2"/>
  <c r="H50" i="2"/>
  <c r="C50" i="2"/>
  <c r="J49" i="2"/>
  <c r="H49" i="2"/>
  <c r="C49" i="2"/>
  <c r="J48" i="2"/>
  <c r="I48" i="2"/>
  <c r="H48" i="2"/>
  <c r="C48" i="2"/>
  <c r="J47" i="2"/>
  <c r="I47" i="2"/>
  <c r="H47" i="2"/>
  <c r="C47" i="2"/>
  <c r="I46" i="2"/>
  <c r="H46" i="2"/>
  <c r="C46" i="2"/>
  <c r="I45" i="2"/>
  <c r="H45" i="2"/>
  <c r="C45" i="2"/>
  <c r="I44" i="2"/>
  <c r="H44" i="2"/>
  <c r="C44" i="2"/>
  <c r="I43" i="2"/>
  <c r="H43" i="2"/>
  <c r="C43" i="2"/>
  <c r="I42" i="2"/>
  <c r="H42" i="2"/>
  <c r="C42" i="2"/>
  <c r="I41" i="2"/>
  <c r="H41" i="2"/>
  <c r="C41" i="2"/>
  <c r="I40" i="2"/>
  <c r="H40" i="2"/>
  <c r="C40" i="2"/>
  <c r="J39" i="2"/>
  <c r="I39" i="2"/>
  <c r="H39" i="2"/>
  <c r="C39" i="2"/>
  <c r="I38" i="2"/>
  <c r="H38" i="2"/>
  <c r="C38" i="2"/>
  <c r="I37" i="2"/>
  <c r="H37" i="2"/>
  <c r="C37" i="2"/>
  <c r="I36" i="2"/>
  <c r="H36" i="2"/>
  <c r="C36" i="2"/>
  <c r="J35" i="2"/>
  <c r="I35" i="2"/>
  <c r="H35" i="2"/>
  <c r="C35" i="2"/>
  <c r="I34" i="2"/>
  <c r="H34" i="2"/>
  <c r="C34" i="2"/>
  <c r="I33" i="2"/>
  <c r="H33" i="2"/>
  <c r="D33" i="2"/>
  <c r="C33" i="2"/>
  <c r="J32" i="2"/>
  <c r="I32" i="2"/>
  <c r="H32" i="2"/>
  <c r="D32" i="2"/>
  <c r="C32" i="2"/>
  <c r="I31" i="2"/>
  <c r="H31" i="2"/>
  <c r="D31" i="2"/>
  <c r="C31" i="2"/>
  <c r="I30" i="2"/>
  <c r="H30" i="2"/>
  <c r="D30" i="2"/>
  <c r="C30" i="2"/>
  <c r="I29" i="2"/>
  <c r="H29" i="2"/>
  <c r="D29" i="2"/>
  <c r="C29" i="2"/>
  <c r="I28" i="2"/>
  <c r="H28" i="2"/>
  <c r="D28" i="2"/>
  <c r="C28" i="2"/>
  <c r="I27" i="2"/>
  <c r="H27" i="2"/>
  <c r="D27" i="2"/>
  <c r="C27" i="2"/>
  <c r="I26" i="2"/>
  <c r="H26" i="2"/>
  <c r="D26" i="2"/>
  <c r="C26" i="2"/>
  <c r="I25" i="2"/>
  <c r="H25" i="2"/>
  <c r="D25" i="2"/>
  <c r="C25" i="2"/>
  <c r="I24" i="2"/>
  <c r="H24" i="2"/>
  <c r="D24" i="2"/>
  <c r="C24" i="2"/>
  <c r="I23" i="2"/>
  <c r="H23" i="2"/>
  <c r="D23" i="2"/>
  <c r="C23" i="2"/>
  <c r="I22" i="2"/>
  <c r="H22" i="2"/>
  <c r="D22" i="2"/>
  <c r="C22" i="2"/>
  <c r="I21" i="2"/>
  <c r="H21" i="2"/>
  <c r="D21" i="2"/>
  <c r="C21" i="2"/>
  <c r="I20" i="2"/>
  <c r="H20" i="2"/>
  <c r="D20" i="2"/>
  <c r="C20" i="2"/>
  <c r="I19" i="2"/>
  <c r="H19" i="2"/>
  <c r="D19" i="2"/>
  <c r="C19" i="2"/>
  <c r="I18" i="2"/>
  <c r="H18" i="2"/>
  <c r="D18" i="2"/>
  <c r="C18" i="2"/>
  <c r="I17" i="2"/>
  <c r="H17" i="2"/>
  <c r="D17" i="2"/>
  <c r="C17" i="2"/>
  <c r="I16" i="2"/>
  <c r="H16" i="2"/>
  <c r="D16" i="2"/>
  <c r="C16" i="2"/>
  <c r="I15" i="2"/>
  <c r="H15" i="2"/>
  <c r="D15" i="2"/>
  <c r="C15" i="2"/>
  <c r="I14" i="2"/>
  <c r="H14" i="2"/>
  <c r="D14" i="2"/>
  <c r="C14" i="2"/>
  <c r="I13" i="2"/>
  <c r="H13" i="2"/>
  <c r="D13" i="2"/>
  <c r="C13" i="2"/>
  <c r="I12" i="2"/>
  <c r="H12" i="2"/>
  <c r="D12" i="2"/>
  <c r="C12" i="2"/>
  <c r="I11" i="2"/>
  <c r="H11" i="2"/>
  <c r="D11" i="2"/>
  <c r="C11" i="2"/>
  <c r="I10" i="2"/>
  <c r="D10" i="2"/>
  <c r="C10" i="2"/>
  <c r="I9" i="2"/>
  <c r="D9" i="2"/>
  <c r="C9" i="2"/>
  <c r="I8" i="2"/>
  <c r="D8" i="2"/>
  <c r="C8" i="2"/>
  <c r="AR52" i="1"/>
  <c r="AR53" i="1" s="1"/>
  <c r="AR54" i="1" s="1"/>
  <c r="AR55" i="1" s="1"/>
  <c r="AR56" i="1" s="1"/>
  <c r="AR57" i="1" s="1"/>
  <c r="AR58" i="1" s="1"/>
  <c r="AR59" i="1" s="1"/>
  <c r="AR60" i="1" s="1"/>
  <c r="AR61" i="1" s="1"/>
  <c r="AN9" i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G30" i="1"/>
  <c r="AJ30" i="1" s="1"/>
  <c r="R29" i="2" s="1"/>
  <c r="AG59" i="1"/>
  <c r="AG58" i="1"/>
  <c r="AG57" i="1"/>
  <c r="AJ57" i="1" s="1"/>
  <c r="R56" i="2" s="1"/>
  <c r="AG56" i="1"/>
  <c r="AG55" i="1"/>
  <c r="AJ55" i="1" s="1"/>
  <c r="R54" i="2" s="1"/>
  <c r="AG54" i="1"/>
  <c r="AJ54" i="1" s="1"/>
  <c r="R53" i="2" s="1"/>
  <c r="AG53" i="1"/>
  <c r="AJ53" i="1" s="1"/>
  <c r="R52" i="2" s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J34" i="1" s="1"/>
  <c r="R33" i="2" s="1"/>
  <c r="AG33" i="1"/>
  <c r="AJ33" i="1" s="1"/>
  <c r="R32" i="2" s="1"/>
  <c r="AG32" i="1"/>
  <c r="AJ32" i="1" s="1"/>
  <c r="R31" i="2" s="1"/>
  <c r="AJ31" i="1"/>
  <c r="R30" i="2" s="1"/>
  <c r="AG29" i="1"/>
  <c r="AJ29" i="1" s="1"/>
  <c r="R28" i="2" s="1"/>
  <c r="AG28" i="1"/>
  <c r="AJ28" i="1" s="1"/>
  <c r="R27" i="2" s="1"/>
  <c r="AG27" i="1"/>
  <c r="AJ27" i="1" s="1"/>
  <c r="R26" i="2" s="1"/>
  <c r="AG26" i="1"/>
  <c r="AJ26" i="1" s="1"/>
  <c r="R25" i="2" s="1"/>
  <c r="AG25" i="1"/>
  <c r="AJ25" i="1" s="1"/>
  <c r="R24" i="2" s="1"/>
  <c r="AG24" i="1"/>
  <c r="AJ24" i="1" s="1"/>
  <c r="R23" i="2" s="1"/>
  <c r="AG23" i="1"/>
  <c r="AJ23" i="1" s="1"/>
  <c r="R22" i="2" s="1"/>
  <c r="AG22" i="1"/>
  <c r="AJ22" i="1" s="1"/>
  <c r="R21" i="2" s="1"/>
  <c r="AG21" i="1"/>
  <c r="AJ21" i="1" s="1"/>
  <c r="R20" i="2" s="1"/>
  <c r="AG20" i="1"/>
  <c r="AJ20" i="1" s="1"/>
  <c r="R19" i="2" s="1"/>
  <c r="AG19" i="1"/>
  <c r="AJ19" i="1" s="1"/>
  <c r="R18" i="2" s="1"/>
  <c r="AG18" i="1"/>
  <c r="AJ18" i="1" s="1"/>
  <c r="R17" i="2" s="1"/>
  <c r="AG17" i="1"/>
  <c r="AJ17" i="1" s="1"/>
  <c r="R16" i="2" s="1"/>
  <c r="AG16" i="1"/>
  <c r="AJ16" i="1" s="1"/>
  <c r="R15" i="2" s="1"/>
  <c r="AG15" i="1"/>
  <c r="AJ15" i="1" s="1"/>
  <c r="R14" i="2" s="1"/>
  <c r="AG14" i="1"/>
  <c r="AJ14" i="1" s="1"/>
  <c r="R13" i="2" s="1"/>
  <c r="AG13" i="1"/>
  <c r="AJ13" i="1" s="1"/>
  <c r="R12" i="2" s="1"/>
  <c r="AG12" i="1"/>
  <c r="AG11" i="1"/>
  <c r="AJ11" i="1" s="1"/>
  <c r="R10" i="2" s="1"/>
  <c r="AG10" i="1"/>
  <c r="AJ10" i="1" s="1"/>
  <c r="R9" i="2" s="1"/>
  <c r="AC52" i="1"/>
  <c r="AC53" i="1" s="1"/>
  <c r="AC54" i="1" s="1"/>
  <c r="AC55" i="1" s="1"/>
  <c r="AC56" i="1" s="1"/>
  <c r="AC57" i="1" s="1"/>
  <c r="AC58" i="1" s="1"/>
  <c r="AC59" i="1" s="1"/>
  <c r="AC60" i="1" s="1"/>
  <c r="AC61" i="1" s="1"/>
  <c r="Q55" i="2"/>
  <c r="Q32" i="2"/>
  <c r="Q30" i="2"/>
  <c r="Q28" i="2"/>
  <c r="Q26" i="2"/>
  <c r="Q24" i="2"/>
  <c r="Q22" i="2"/>
  <c r="Q20" i="2"/>
  <c r="Q18" i="2"/>
  <c r="Q16" i="2"/>
  <c r="Q14" i="2"/>
  <c r="Q12" i="2"/>
  <c r="Q10" i="2"/>
  <c r="W9" i="1"/>
  <c r="F58" i="1"/>
  <c r="K59" i="1"/>
  <c r="K58" i="2" s="1"/>
  <c r="K58" i="1"/>
  <c r="K57" i="2" s="1"/>
  <c r="F59" i="1"/>
  <c r="F58" i="2" s="1"/>
  <c r="F57" i="1"/>
  <c r="K57" i="1"/>
  <c r="K56" i="2" s="1"/>
  <c r="O55" i="2"/>
  <c r="O54" i="2"/>
  <c r="O53" i="2"/>
  <c r="O52" i="2"/>
  <c r="I52" i="1"/>
  <c r="Q52" i="1" s="1"/>
  <c r="O51" i="2" s="1"/>
  <c r="I51" i="1"/>
  <c r="Q51" i="1" s="1"/>
  <c r="O50" i="2" s="1"/>
  <c r="I50" i="1"/>
  <c r="Q50" i="1" s="1"/>
  <c r="O49" i="2" s="1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K56" i="1"/>
  <c r="K55" i="2" s="1"/>
  <c r="F56" i="1"/>
  <c r="K55" i="1"/>
  <c r="K54" i="2" s="1"/>
  <c r="K54" i="1"/>
  <c r="K53" i="2" s="1"/>
  <c r="F55" i="1"/>
  <c r="F54" i="2" s="1"/>
  <c r="F54" i="1"/>
  <c r="K53" i="1"/>
  <c r="K52" i="2" s="1"/>
  <c r="F53" i="1"/>
  <c r="D52" i="1"/>
  <c r="D51" i="2" s="1"/>
  <c r="F33" i="1"/>
  <c r="K33" i="1"/>
  <c r="K32" i="2" s="1"/>
  <c r="F32" i="1"/>
  <c r="K32" i="1"/>
  <c r="K31" i="2" s="1"/>
  <c r="K31" i="1"/>
  <c r="K30" i="2" s="1"/>
  <c r="K30" i="1"/>
  <c r="K29" i="2"/>
  <c r="K29" i="1"/>
  <c r="K28" i="2" s="1"/>
  <c r="K28" i="1"/>
  <c r="K27" i="2" s="1"/>
  <c r="K27" i="1"/>
  <c r="K26" i="2" s="1"/>
  <c r="K26" i="1"/>
  <c r="K25" i="2" s="1"/>
  <c r="K25" i="1"/>
  <c r="K24" i="2" s="1"/>
  <c r="K24" i="1"/>
  <c r="K23" i="2"/>
  <c r="K23" i="1"/>
  <c r="K22" i="2" s="1"/>
  <c r="K22" i="1"/>
  <c r="K21" i="2" s="1"/>
  <c r="K21" i="1"/>
  <c r="K20" i="2" s="1"/>
  <c r="K20" i="1"/>
  <c r="K19" i="2" s="1"/>
  <c r="K19" i="1"/>
  <c r="K18" i="2" s="1"/>
  <c r="K18" i="1"/>
  <c r="K17" i="2"/>
  <c r="K17" i="1"/>
  <c r="K16" i="2" s="1"/>
  <c r="K16" i="1"/>
  <c r="K15" i="2" s="1"/>
  <c r="K15" i="1"/>
  <c r="K14" i="2" s="1"/>
  <c r="K14" i="1"/>
  <c r="K13" i="2" s="1"/>
  <c r="K13" i="1"/>
  <c r="K12" i="2" s="1"/>
  <c r="K12" i="1"/>
  <c r="K11" i="2" s="1"/>
  <c r="K11" i="1"/>
  <c r="K10" i="2" s="1"/>
  <c r="K10" i="1"/>
  <c r="K9" i="2"/>
  <c r="K9" i="1"/>
  <c r="K8" i="2" s="1"/>
  <c r="F31" i="1"/>
  <c r="F30" i="2" s="1"/>
  <c r="F30" i="1"/>
  <c r="F29" i="1"/>
  <c r="F28" i="1"/>
  <c r="F27" i="1"/>
  <c r="F26" i="1"/>
  <c r="F25" i="1"/>
  <c r="F24" i="1"/>
  <c r="F23" i="1"/>
  <c r="F22" i="1"/>
  <c r="F21" i="1"/>
  <c r="F20" i="2" s="1"/>
  <c r="F20" i="1"/>
  <c r="F19" i="1"/>
  <c r="F18" i="1"/>
  <c r="F17" i="1"/>
  <c r="F16" i="1"/>
  <c r="F15" i="1"/>
  <c r="P15" i="1" s="1"/>
  <c r="F14" i="1"/>
  <c r="F13" i="1"/>
  <c r="F12" i="1"/>
  <c r="F11" i="1"/>
  <c r="F10" i="1"/>
  <c r="F9" i="1"/>
  <c r="F8" i="2" s="1"/>
  <c r="A10" i="1"/>
  <c r="A11" i="1" s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D51" i="1"/>
  <c r="K41" i="1"/>
  <c r="K49" i="1"/>
  <c r="K48" i="1"/>
  <c r="D48" i="1" s="1"/>
  <c r="K47" i="1"/>
  <c r="D47" i="1" s="1"/>
  <c r="S47" i="1" s="1"/>
  <c r="K46" i="2"/>
  <c r="K46" i="1"/>
  <c r="D46" i="1" s="1"/>
  <c r="S46" i="1" s="1"/>
  <c r="Q45" i="2" s="1"/>
  <c r="K45" i="1"/>
  <c r="D45" i="1" s="1"/>
  <c r="K44" i="1"/>
  <c r="D44" i="1" s="1"/>
  <c r="K43" i="1"/>
  <c r="D43" i="1" s="1"/>
  <c r="S43" i="1" s="1"/>
  <c r="Q42" i="2" s="1"/>
  <c r="K42" i="1"/>
  <c r="F34" i="1"/>
  <c r="K40" i="1"/>
  <c r="D40" i="1" s="1"/>
  <c r="K39" i="1"/>
  <c r="D39" i="1" s="1"/>
  <c r="S39" i="1" s="1"/>
  <c r="Q38" i="2" s="1"/>
  <c r="K38" i="1"/>
  <c r="D38" i="1" s="1"/>
  <c r="F38" i="1" s="1"/>
  <c r="K37" i="1"/>
  <c r="D37" i="1" s="1"/>
  <c r="S37" i="1" s="1"/>
  <c r="Q36" i="2" s="1"/>
  <c r="K36" i="1"/>
  <c r="D36" i="1" s="1"/>
  <c r="F36" i="1" s="1"/>
  <c r="K35" i="1"/>
  <c r="D35" i="1" s="1"/>
  <c r="S35" i="1" s="1"/>
  <c r="Q34" i="2" s="1"/>
  <c r="K34" i="1"/>
  <c r="K33" i="2" s="1"/>
  <c r="Q11" i="2"/>
  <c r="AJ12" i="1"/>
  <c r="R11" i="2" s="1"/>
  <c r="Q13" i="2"/>
  <c r="Q15" i="2"/>
  <c r="Q17" i="2"/>
  <c r="Q19" i="2"/>
  <c r="Q21" i="2"/>
  <c r="Q23" i="2"/>
  <c r="Q25" i="2"/>
  <c r="Q27" i="2"/>
  <c r="Q29" i="2"/>
  <c r="Q31" i="2"/>
  <c r="Q33" i="2"/>
  <c r="Q54" i="2"/>
  <c r="Q56" i="2"/>
  <c r="Q53" i="2"/>
  <c r="AJ56" i="1"/>
  <c r="R55" i="2" s="1"/>
  <c r="Q9" i="2"/>
  <c r="J40" i="2"/>
  <c r="AN68" i="1" l="1"/>
  <c r="K52" i="1"/>
  <c r="K51" i="2" s="1"/>
  <c r="F52" i="1"/>
  <c r="Y62" i="1"/>
  <c r="Y63" i="1" s="1"/>
  <c r="Y64" i="1" s="1"/>
  <c r="Y65" i="1" s="1"/>
  <c r="Y66" i="1" s="1"/>
  <c r="Y67" i="1" s="1"/>
  <c r="P34" i="1"/>
  <c r="K36" i="2"/>
  <c r="P13" i="1"/>
  <c r="AR62" i="1"/>
  <c r="AR63" i="1" s="1"/>
  <c r="AR64" i="1" s="1"/>
  <c r="AR65" i="1" s="1"/>
  <c r="AR66" i="1" s="1"/>
  <c r="AC62" i="1"/>
  <c r="AC63" i="1" s="1"/>
  <c r="AC64" i="1" s="1"/>
  <c r="AC65" i="1" s="1"/>
  <c r="AC66" i="1" s="1"/>
  <c r="K50" i="1"/>
  <c r="I49" i="2"/>
  <c r="K38" i="2"/>
  <c r="K51" i="1"/>
  <c r="K50" i="2" s="1"/>
  <c r="P25" i="1"/>
  <c r="F45" i="1"/>
  <c r="P45" i="1" s="1"/>
  <c r="S45" i="1"/>
  <c r="K34" i="2"/>
  <c r="K45" i="2"/>
  <c r="F12" i="2"/>
  <c r="I50" i="2"/>
  <c r="P57" i="1"/>
  <c r="F35" i="1"/>
  <c r="P35" i="1" s="1"/>
  <c r="K42" i="2"/>
  <c r="F37" i="1"/>
  <c r="P37" i="1" s="1"/>
  <c r="A34" i="1"/>
  <c r="F21" i="2"/>
  <c r="P22" i="1"/>
  <c r="F36" i="2"/>
  <c r="F9" i="2"/>
  <c r="P10" i="1"/>
  <c r="F10" i="2"/>
  <c r="P11" i="1"/>
  <c r="F16" i="2"/>
  <c r="P17" i="1"/>
  <c r="F23" i="2"/>
  <c r="P24" i="1"/>
  <c r="P59" i="1"/>
  <c r="F37" i="2"/>
  <c r="P38" i="1"/>
  <c r="F33" i="2"/>
  <c r="K43" i="2"/>
  <c r="F11" i="2"/>
  <c r="P12" i="1"/>
  <c r="F14" i="2"/>
  <c r="F17" i="2"/>
  <c r="P18" i="1"/>
  <c r="P21" i="1"/>
  <c r="F24" i="2"/>
  <c r="F27" i="2"/>
  <c r="P28" i="1"/>
  <c r="P31" i="1"/>
  <c r="F52" i="2"/>
  <c r="P53" i="1"/>
  <c r="P55" i="1"/>
  <c r="F55" i="2"/>
  <c r="P56" i="1"/>
  <c r="F18" i="2"/>
  <c r="P19" i="1"/>
  <c r="F28" i="2"/>
  <c r="P29" i="1"/>
  <c r="F32" i="2"/>
  <c r="P33" i="1"/>
  <c r="AJ37" i="1"/>
  <c r="R36" i="2" s="1"/>
  <c r="F15" i="2"/>
  <c r="P16" i="1"/>
  <c r="F19" i="2"/>
  <c r="P20" i="1"/>
  <c r="F22" i="2"/>
  <c r="P23" i="1"/>
  <c r="F25" i="2"/>
  <c r="P26" i="1"/>
  <c r="F29" i="2"/>
  <c r="P30" i="1"/>
  <c r="F31" i="2"/>
  <c r="P32" i="1"/>
  <c r="F51" i="2"/>
  <c r="P52" i="1"/>
  <c r="F53" i="2"/>
  <c r="P54" i="1"/>
  <c r="F35" i="2"/>
  <c r="P36" i="1"/>
  <c r="F43" i="1"/>
  <c r="F13" i="2"/>
  <c r="P14" i="1"/>
  <c r="F26" i="2"/>
  <c r="P27" i="1"/>
  <c r="F57" i="2"/>
  <c r="P58" i="1"/>
  <c r="AJ46" i="1"/>
  <c r="R45" i="2" s="1"/>
  <c r="D41" i="1"/>
  <c r="K40" i="2"/>
  <c r="K35" i="2"/>
  <c r="K37" i="2"/>
  <c r="K39" i="2"/>
  <c r="AJ43" i="1"/>
  <c r="R42" i="2" s="1"/>
  <c r="K44" i="2"/>
  <c r="F46" i="1"/>
  <c r="S51" i="1"/>
  <c r="F56" i="2"/>
  <c r="N57" i="1"/>
  <c r="S48" i="1"/>
  <c r="Q47" i="2" s="1"/>
  <c r="D47" i="2"/>
  <c r="F51" i="1"/>
  <c r="S40" i="1"/>
  <c r="D39" i="2"/>
  <c r="F40" i="1"/>
  <c r="D42" i="1"/>
  <c r="K41" i="2"/>
  <c r="F48" i="1"/>
  <c r="D46" i="2"/>
  <c r="F47" i="1"/>
  <c r="D49" i="1"/>
  <c r="S49" i="1" s="1"/>
  <c r="K48" i="2"/>
  <c r="S44" i="1"/>
  <c r="Q43" i="2" s="1"/>
  <c r="D43" i="2"/>
  <c r="F44" i="1"/>
  <c r="K47" i="2"/>
  <c r="D50" i="2"/>
  <c r="S36" i="1"/>
  <c r="D35" i="2"/>
  <c r="S38" i="1"/>
  <c r="D37" i="2"/>
  <c r="D44" i="2"/>
  <c r="F39" i="1"/>
  <c r="S52" i="1"/>
  <c r="D38" i="2"/>
  <c r="D45" i="2"/>
  <c r="I51" i="2"/>
  <c r="D42" i="2"/>
  <c r="S58" i="1"/>
  <c r="Q57" i="1"/>
  <c r="O56" i="2" s="1"/>
  <c r="D36" i="2"/>
  <c r="D34" i="2"/>
  <c r="AJ35" i="1"/>
  <c r="R34" i="2" s="1"/>
  <c r="AJ39" i="1"/>
  <c r="R38" i="2" s="1"/>
  <c r="X9" i="1"/>
  <c r="T8" i="2" s="1"/>
  <c r="W10" i="1"/>
  <c r="Q8" i="2"/>
  <c r="AJ9" i="1"/>
  <c r="AR67" i="1" l="1"/>
  <c r="AR68" i="1" s="1"/>
  <c r="AC67" i="1"/>
  <c r="AC68" i="1" s="1"/>
  <c r="Y68" i="1"/>
  <c r="F44" i="2"/>
  <c r="A35" i="1"/>
  <c r="A36" i="1" s="1"/>
  <c r="F34" i="2"/>
  <c r="D50" i="1"/>
  <c r="K49" i="2"/>
  <c r="F41" i="1"/>
  <c r="F40" i="2" s="1"/>
  <c r="S41" i="1"/>
  <c r="Q40" i="2" s="1"/>
  <c r="D40" i="2"/>
  <c r="F38" i="2"/>
  <c r="P39" i="1"/>
  <c r="F46" i="2"/>
  <c r="P47" i="1"/>
  <c r="F47" i="2"/>
  <c r="P48" i="1"/>
  <c r="F43" i="2"/>
  <c r="P44" i="1"/>
  <c r="F42" i="2"/>
  <c r="P43" i="1"/>
  <c r="F50" i="2"/>
  <c r="P51" i="1"/>
  <c r="F45" i="2"/>
  <c r="P46" i="1"/>
  <c r="F39" i="2"/>
  <c r="P40" i="1"/>
  <c r="N58" i="1"/>
  <c r="AJ51" i="1"/>
  <c r="Q50" i="2"/>
  <c r="AJ44" i="1"/>
  <c r="R43" i="2" s="1"/>
  <c r="Q59" i="1"/>
  <c r="O58" i="2" s="1"/>
  <c r="S59" i="1"/>
  <c r="Q58" i="1"/>
  <c r="O57" i="2" s="1"/>
  <c r="AJ36" i="1"/>
  <c r="R35" i="2" s="1"/>
  <c r="Q35" i="2"/>
  <c r="AJ47" i="1"/>
  <c r="R46" i="2" s="1"/>
  <c r="Q46" i="2"/>
  <c r="AJ52" i="1"/>
  <c r="R51" i="2" s="1"/>
  <c r="Q51" i="2"/>
  <c r="D48" i="2"/>
  <c r="F49" i="1"/>
  <c r="AJ38" i="1"/>
  <c r="R37" i="2" s="1"/>
  <c r="Q37" i="2"/>
  <c r="AJ48" i="1"/>
  <c r="R47" i="2" s="1"/>
  <c r="Q57" i="2"/>
  <c r="AJ58" i="1"/>
  <c r="R57" i="2" s="1"/>
  <c r="AJ40" i="1"/>
  <c r="R39" i="2" s="1"/>
  <c r="Q39" i="2"/>
  <c r="Q44" i="2"/>
  <c r="AJ45" i="1"/>
  <c r="R44" i="2" s="1"/>
  <c r="S42" i="1"/>
  <c r="D41" i="2"/>
  <c r="F42" i="1"/>
  <c r="W11" i="1"/>
  <c r="X10" i="1"/>
  <c r="T9" i="2" s="1"/>
  <c r="AL9" i="1"/>
  <c r="R8" i="2"/>
  <c r="A37" i="1" l="1"/>
  <c r="A38" i="1" s="1"/>
  <c r="S50" i="1"/>
  <c r="AA50" i="1" s="1"/>
  <c r="D49" i="2"/>
  <c r="F50" i="1"/>
  <c r="AJ41" i="1"/>
  <c r="R40" i="2" s="1"/>
  <c r="P41" i="1"/>
  <c r="F41" i="2"/>
  <c r="P42" i="1"/>
  <c r="F48" i="2"/>
  <c r="P49" i="1"/>
  <c r="R50" i="2"/>
  <c r="N59" i="1"/>
  <c r="N60" i="1" s="1"/>
  <c r="N61" i="1" s="1"/>
  <c r="N62" i="1" s="1"/>
  <c r="N63" i="1" s="1"/>
  <c r="N64" i="1" s="1"/>
  <c r="N65" i="1" s="1"/>
  <c r="N66" i="1" s="1"/>
  <c r="N67" i="1" s="1"/>
  <c r="N68" i="1" s="1"/>
  <c r="Q48" i="2"/>
  <c r="AJ49" i="1"/>
  <c r="R48" i="2" s="1"/>
  <c r="Q41" i="2"/>
  <c r="AJ42" i="1"/>
  <c r="R41" i="2" s="1"/>
  <c r="AJ59" i="1"/>
  <c r="R58" i="2" s="1"/>
  <c r="Q58" i="2"/>
  <c r="W12" i="1"/>
  <c r="X11" i="1"/>
  <c r="T10" i="2" s="1"/>
  <c r="AL10" i="1"/>
  <c r="AM9" i="1"/>
  <c r="W8" i="2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B50" i="1"/>
  <c r="U49" i="2" s="1"/>
  <c r="AA51" i="1"/>
  <c r="P50" i="1"/>
  <c r="F49" i="2"/>
  <c r="Q49" i="2"/>
  <c r="AJ50" i="1"/>
  <c r="X12" i="1"/>
  <c r="T11" i="2" s="1"/>
  <c r="W13" i="1"/>
  <c r="AM10" i="1"/>
  <c r="W9" i="2" s="1"/>
  <c r="AL11" i="1"/>
  <c r="AB51" i="1" l="1"/>
  <c r="U50" i="2" s="1"/>
  <c r="AA52" i="1"/>
  <c r="R49" i="2"/>
  <c r="AP50" i="1"/>
  <c r="AL12" i="1"/>
  <c r="AM11" i="1"/>
  <c r="W10" i="2" s="1"/>
  <c r="X13" i="1"/>
  <c r="T12" i="2" s="1"/>
  <c r="W14" i="1"/>
  <c r="AB52" i="1" l="1"/>
  <c r="U51" i="2" s="1"/>
  <c r="AA53" i="1"/>
  <c r="AQ50" i="1"/>
  <c r="X49" i="2" s="1"/>
  <c r="AP51" i="1"/>
  <c r="X14" i="1"/>
  <c r="T13" i="2" s="1"/>
  <c r="W15" i="1"/>
  <c r="AL13" i="1"/>
  <c r="AM12" i="1"/>
  <c r="W11" i="2" s="1"/>
  <c r="AQ51" i="1" l="1"/>
  <c r="X50" i="2" s="1"/>
  <c r="AP52" i="1"/>
  <c r="AA54" i="1"/>
  <c r="AB53" i="1"/>
  <c r="U52" i="2" s="1"/>
  <c r="W16" i="1"/>
  <c r="X15" i="1"/>
  <c r="T14" i="2" s="1"/>
  <c r="AM13" i="1"/>
  <c r="W12" i="2" s="1"/>
  <c r="AL14" i="1"/>
  <c r="AA55" i="1" l="1"/>
  <c r="AB54" i="1"/>
  <c r="U53" i="2" s="1"/>
  <c r="AP53" i="1"/>
  <c r="AQ52" i="1"/>
  <c r="X51" i="2" s="1"/>
  <c r="AL15" i="1"/>
  <c r="AM14" i="1"/>
  <c r="W13" i="2" s="1"/>
  <c r="X16" i="1"/>
  <c r="T15" i="2" s="1"/>
  <c r="W17" i="1"/>
  <c r="AQ53" i="1" l="1"/>
  <c r="X52" i="2" s="1"/>
  <c r="AP54" i="1"/>
  <c r="AA56" i="1"/>
  <c r="AB55" i="1"/>
  <c r="U54" i="2" s="1"/>
  <c r="X17" i="1"/>
  <c r="T16" i="2" s="1"/>
  <c r="W18" i="1"/>
  <c r="AL16" i="1"/>
  <c r="AM15" i="1"/>
  <c r="W14" i="2" s="1"/>
  <c r="AB56" i="1" l="1"/>
  <c r="U55" i="2" s="1"/>
  <c r="AA57" i="1"/>
  <c r="AQ54" i="1"/>
  <c r="X53" i="2" s="1"/>
  <c r="AP55" i="1"/>
  <c r="W19" i="1"/>
  <c r="X18" i="1"/>
  <c r="T17" i="2" s="1"/>
  <c r="AM16" i="1"/>
  <c r="W15" i="2" s="1"/>
  <c r="AL17" i="1"/>
  <c r="AB57" i="1" l="1"/>
  <c r="U56" i="2" s="1"/>
  <c r="AA58" i="1"/>
  <c r="AP56" i="1"/>
  <c r="AQ55" i="1"/>
  <c r="X54" i="2" s="1"/>
  <c r="AM17" i="1"/>
  <c r="W16" i="2" s="1"/>
  <c r="AL18" i="1"/>
  <c r="X19" i="1"/>
  <c r="T18" i="2" s="1"/>
  <c r="W20" i="1"/>
  <c r="AP57" i="1" l="1"/>
  <c r="AQ56" i="1"/>
  <c r="X55" i="2" s="1"/>
  <c r="AB58" i="1"/>
  <c r="U57" i="2" s="1"/>
  <c r="AA59" i="1"/>
  <c r="X20" i="1"/>
  <c r="T19" i="2" s="1"/>
  <c r="W21" i="1"/>
  <c r="AL19" i="1"/>
  <c r="AM18" i="1"/>
  <c r="W17" i="2" s="1"/>
  <c r="AB59" i="1" l="1"/>
  <c r="U58" i="2" s="1"/>
  <c r="AA60" i="1"/>
  <c r="AQ57" i="1"/>
  <c r="X56" i="2" s="1"/>
  <c r="AP58" i="1"/>
  <c r="X21" i="1"/>
  <c r="T20" i="2" s="1"/>
  <c r="W22" i="1"/>
  <c r="AL20" i="1"/>
  <c r="AM19" i="1"/>
  <c r="W18" i="2" s="1"/>
  <c r="AP59" i="1" l="1"/>
  <c r="AQ58" i="1"/>
  <c r="X57" i="2" s="1"/>
  <c r="AB60" i="1"/>
  <c r="U59" i="2" s="1"/>
  <c r="AA61" i="1"/>
  <c r="X22" i="1"/>
  <c r="T21" i="2" s="1"/>
  <c r="W23" i="1"/>
  <c r="AL21" i="1"/>
  <c r="AM20" i="1"/>
  <c r="W19" i="2" s="1"/>
  <c r="AA62" i="1" l="1"/>
  <c r="AB61" i="1"/>
  <c r="U60" i="2" s="1"/>
  <c r="AQ59" i="1"/>
  <c r="X58" i="2" s="1"/>
  <c r="AP60" i="1"/>
  <c r="X23" i="1"/>
  <c r="T22" i="2" s="1"/>
  <c r="W24" i="1"/>
  <c r="AL22" i="1"/>
  <c r="AM21" i="1"/>
  <c r="W20" i="2" s="1"/>
  <c r="AQ60" i="1" l="1"/>
  <c r="X59" i="2" s="1"/>
  <c r="AP61" i="1"/>
  <c r="AB62" i="1"/>
  <c r="U61" i="2" s="1"/>
  <c r="AA63" i="1"/>
  <c r="X24" i="1"/>
  <c r="T23" i="2" s="1"/>
  <c r="W25" i="1"/>
  <c r="AL23" i="1"/>
  <c r="AM22" i="1"/>
  <c r="W21" i="2" s="1"/>
  <c r="AB63" i="1" l="1"/>
  <c r="U62" i="2" s="1"/>
  <c r="AA64" i="1"/>
  <c r="AP62" i="1"/>
  <c r="AQ61" i="1"/>
  <c r="X60" i="2" s="1"/>
  <c r="X25" i="1"/>
  <c r="T24" i="2" s="1"/>
  <c r="W26" i="1"/>
  <c r="AL24" i="1"/>
  <c r="AM23" i="1"/>
  <c r="W22" i="2" s="1"/>
  <c r="AB64" i="1" l="1"/>
  <c r="U63" i="2" s="1"/>
  <c r="AA65" i="1"/>
  <c r="AQ62" i="1"/>
  <c r="X61" i="2" s="1"/>
  <c r="AP63" i="1"/>
  <c r="X26" i="1"/>
  <c r="T25" i="2" s="1"/>
  <c r="W27" i="1"/>
  <c r="AL25" i="1"/>
  <c r="AM24" i="1"/>
  <c r="W23" i="2" s="1"/>
  <c r="AA66" i="1" l="1"/>
  <c r="AB65" i="1"/>
  <c r="U64" i="2" s="1"/>
  <c r="AQ63" i="1"/>
  <c r="X62" i="2" s="1"/>
  <c r="AP64" i="1"/>
  <c r="AL26" i="1"/>
  <c r="AM25" i="1"/>
  <c r="W24" i="2" s="1"/>
  <c r="X27" i="1"/>
  <c r="T26" i="2" s="1"/>
  <c r="W28" i="1"/>
  <c r="AQ64" i="1" l="1"/>
  <c r="X63" i="2" s="1"/>
  <c r="AP65" i="1"/>
  <c r="AA67" i="1"/>
  <c r="AB66" i="1"/>
  <c r="U65" i="2" s="1"/>
  <c r="X28" i="1"/>
  <c r="T27" i="2" s="1"/>
  <c r="W29" i="1"/>
  <c r="AL27" i="1"/>
  <c r="AM26" i="1"/>
  <c r="W25" i="2" s="1"/>
  <c r="AQ65" i="1" l="1"/>
  <c r="X64" i="2" s="1"/>
  <c r="AP66" i="1"/>
  <c r="AA68" i="1"/>
  <c r="AB68" i="1" s="1"/>
  <c r="U67" i="2" s="1"/>
  <c r="AB67" i="1"/>
  <c r="U66" i="2" s="1"/>
  <c r="X29" i="1"/>
  <c r="T28" i="2" s="1"/>
  <c r="W30" i="1"/>
  <c r="AL28" i="1"/>
  <c r="AM27" i="1"/>
  <c r="W26" i="2" s="1"/>
  <c r="AP67" i="1" l="1"/>
  <c r="AQ66" i="1"/>
  <c r="X65" i="2" s="1"/>
  <c r="X30" i="1"/>
  <c r="T29" i="2" s="1"/>
  <c r="W31" i="1"/>
  <c r="AL29" i="1"/>
  <c r="AM28" i="1"/>
  <c r="W27" i="2" s="1"/>
  <c r="AQ67" i="1" l="1"/>
  <c r="X66" i="2" s="1"/>
  <c r="AP68" i="1"/>
  <c r="AQ68" i="1" s="1"/>
  <c r="X67" i="2" s="1"/>
  <c r="X31" i="1"/>
  <c r="T30" i="2" s="1"/>
  <c r="W32" i="1"/>
  <c r="AM29" i="1"/>
  <c r="W28" i="2" s="1"/>
  <c r="AL30" i="1"/>
  <c r="AL31" i="1" l="1"/>
  <c r="AM30" i="1"/>
  <c r="W29" i="2" s="1"/>
  <c r="W33" i="1"/>
  <c r="X32" i="1"/>
  <c r="T31" i="2" s="1"/>
  <c r="X33" i="1" l="1"/>
  <c r="T32" i="2" s="1"/>
  <c r="W34" i="1"/>
  <c r="AM31" i="1"/>
  <c r="W30" i="2" s="1"/>
  <c r="AL32" i="1"/>
  <c r="AL33" i="1" l="1"/>
  <c r="AM32" i="1"/>
  <c r="W31" i="2" s="1"/>
  <c r="W35" i="1"/>
  <c r="X34" i="1"/>
  <c r="T33" i="2" s="1"/>
  <c r="X35" i="1" l="1"/>
  <c r="T34" i="2" s="1"/>
  <c r="W36" i="1"/>
  <c r="AM33" i="1"/>
  <c r="W32" i="2" s="1"/>
  <c r="AL34" i="1"/>
  <c r="W37" i="1" l="1"/>
  <c r="X36" i="1"/>
  <c r="T35" i="2" s="1"/>
  <c r="AL35" i="1"/>
  <c r="AM34" i="1"/>
  <c r="W33" i="2" s="1"/>
  <c r="AM35" i="1" l="1"/>
  <c r="W34" i="2" s="1"/>
  <c r="AL36" i="1"/>
  <c r="X37" i="1"/>
  <c r="T36" i="2" s="1"/>
  <c r="W38" i="1"/>
  <c r="AL37" i="1" l="1"/>
  <c r="AM36" i="1"/>
  <c r="W35" i="2" s="1"/>
  <c r="W39" i="1"/>
  <c r="X38" i="1"/>
  <c r="T37" i="2" s="1"/>
  <c r="W40" i="1" l="1"/>
  <c r="X39" i="1"/>
  <c r="T38" i="2" s="1"/>
  <c r="AM37" i="1"/>
  <c r="W36" i="2" s="1"/>
  <c r="AL38" i="1"/>
  <c r="AL39" i="1" l="1"/>
  <c r="AM38" i="1"/>
  <c r="W37" i="2" s="1"/>
  <c r="W41" i="1"/>
  <c r="X40" i="1"/>
  <c r="T39" i="2" s="1"/>
  <c r="X41" i="1" l="1"/>
  <c r="T40" i="2" s="1"/>
  <c r="W42" i="1"/>
  <c r="AM39" i="1"/>
  <c r="W38" i="2" s="1"/>
  <c r="AL40" i="1"/>
  <c r="W43" i="1" l="1"/>
  <c r="X42" i="1"/>
  <c r="T41" i="2" s="1"/>
  <c r="AL41" i="1"/>
  <c r="AM40" i="1"/>
  <c r="W39" i="2" s="1"/>
  <c r="AM41" i="1" l="1"/>
  <c r="W40" i="2" s="1"/>
  <c r="AL42" i="1"/>
  <c r="X43" i="1"/>
  <c r="T42" i="2" s="1"/>
  <c r="W44" i="1"/>
  <c r="AL43" i="1" l="1"/>
  <c r="AM42" i="1"/>
  <c r="W41" i="2" s="1"/>
  <c r="W45" i="1"/>
  <c r="X44" i="1"/>
  <c r="T43" i="2" s="1"/>
  <c r="X45" i="1" l="1"/>
  <c r="T44" i="2" s="1"/>
  <c r="W46" i="1"/>
  <c r="AM43" i="1"/>
  <c r="W42" i="2" s="1"/>
  <c r="AL44" i="1"/>
  <c r="W47" i="1" l="1"/>
  <c r="X46" i="1"/>
  <c r="T45" i="2" s="1"/>
  <c r="AL45" i="1"/>
  <c r="AM44" i="1"/>
  <c r="W43" i="2" s="1"/>
  <c r="AM45" i="1" l="1"/>
  <c r="W44" i="2" s="1"/>
  <c r="AL46" i="1"/>
  <c r="X47" i="1"/>
  <c r="T46" i="2" s="1"/>
  <c r="W48" i="1"/>
  <c r="W49" i="1" s="1"/>
  <c r="AL47" i="1" l="1"/>
  <c r="AM46" i="1"/>
  <c r="W45" i="2" s="1"/>
  <c r="X48" i="1"/>
  <c r="T47" i="2" s="1"/>
  <c r="X49" i="1" l="1"/>
  <c r="T48" i="2" s="1"/>
  <c r="W50" i="1"/>
  <c r="AM47" i="1"/>
  <c r="W46" i="2" s="1"/>
  <c r="AL48" i="1"/>
  <c r="W51" i="1" l="1"/>
  <c r="X50" i="1"/>
  <c r="T49" i="2" s="1"/>
  <c r="AL49" i="1"/>
  <c r="AM48" i="1"/>
  <c r="W47" i="2" s="1"/>
  <c r="AM49" i="1" l="1"/>
  <c r="W48" i="2" s="1"/>
  <c r="AL50" i="1"/>
  <c r="X51" i="1"/>
  <c r="T50" i="2" s="1"/>
  <c r="W52" i="1"/>
  <c r="AL51" i="1" l="1"/>
  <c r="AM50" i="1"/>
  <c r="W49" i="2" s="1"/>
  <c r="W53" i="1"/>
  <c r="X52" i="1"/>
  <c r="T51" i="2" s="1"/>
  <c r="X53" i="1" l="1"/>
  <c r="T52" i="2" s="1"/>
  <c r="W54" i="1"/>
  <c r="AM51" i="1"/>
  <c r="W50" i="2" s="1"/>
  <c r="AL52" i="1"/>
  <c r="W55" i="1" l="1"/>
  <c r="X54" i="1"/>
  <c r="T53" i="2" s="1"/>
  <c r="AL53" i="1"/>
  <c r="AM52" i="1"/>
  <c r="W51" i="2" s="1"/>
  <c r="AM53" i="1" l="1"/>
  <c r="W52" i="2" s="1"/>
  <c r="AL54" i="1"/>
  <c r="X55" i="1"/>
  <c r="T54" i="2" s="1"/>
  <c r="W56" i="1"/>
  <c r="AL55" i="1" l="1"/>
  <c r="AM54" i="1"/>
  <c r="W53" i="2" s="1"/>
  <c r="W57" i="1"/>
  <c r="X56" i="1"/>
  <c r="T55" i="2" s="1"/>
  <c r="X57" i="1" l="1"/>
  <c r="T56" i="2" s="1"/>
  <c r="W58" i="1"/>
  <c r="AM55" i="1"/>
  <c r="W54" i="2" s="1"/>
  <c r="AL56" i="1"/>
  <c r="AL57" i="1" l="1"/>
  <c r="AM56" i="1"/>
  <c r="W55" i="2" s="1"/>
  <c r="W59" i="1"/>
  <c r="W60" i="1" s="1"/>
  <c r="W61" i="1" s="1"/>
  <c r="X58" i="1"/>
  <c r="T57" i="2" s="1"/>
  <c r="W62" i="1" l="1"/>
  <c r="X61" i="1"/>
  <c r="T60" i="2" s="1"/>
  <c r="X60" i="1"/>
  <c r="T59" i="2" s="1"/>
  <c r="X59" i="1"/>
  <c r="T58" i="2" s="1"/>
  <c r="AL58" i="1"/>
  <c r="AM57" i="1"/>
  <c r="W56" i="2" s="1"/>
  <c r="X62" i="1" l="1"/>
  <c r="T61" i="2" s="1"/>
  <c r="W63" i="1"/>
  <c r="AL59" i="1"/>
  <c r="AL60" i="1" s="1"/>
  <c r="AL61" i="1" s="1"/>
  <c r="AM58" i="1"/>
  <c r="W57" i="2" s="1"/>
  <c r="X63" i="1" l="1"/>
  <c r="T62" i="2" s="1"/>
  <c r="W64" i="1"/>
  <c r="W65" i="1" s="1"/>
  <c r="AL62" i="1"/>
  <c r="AM61" i="1"/>
  <c r="W60" i="2" s="1"/>
  <c r="AM60" i="1"/>
  <c r="W59" i="2" s="1"/>
  <c r="AM59" i="1"/>
  <c r="W58" i="2" s="1"/>
  <c r="X65" i="1" l="1"/>
  <c r="T64" i="2" s="1"/>
  <c r="W66" i="1"/>
  <c r="AM62" i="1"/>
  <c r="W61" i="2" s="1"/>
  <c r="AL63" i="1"/>
  <c r="X64" i="1"/>
  <c r="T63" i="2" s="1"/>
  <c r="W67" i="1" l="1"/>
  <c r="X66" i="1"/>
  <c r="T65" i="2" s="1"/>
  <c r="AM63" i="1"/>
  <c r="W62" i="2" s="1"/>
  <c r="AL64" i="1"/>
  <c r="AL65" i="1" s="1"/>
  <c r="AM65" i="1" l="1"/>
  <c r="W64" i="2" s="1"/>
  <c r="AL66" i="1"/>
  <c r="W68" i="1"/>
  <c r="X67" i="1"/>
  <c r="T66" i="2" s="1"/>
  <c r="AM64" i="1"/>
  <c r="W63" i="2" s="1"/>
  <c r="X68" i="1" l="1"/>
  <c r="T67" i="2" s="1"/>
  <c r="X3" i="1"/>
  <c r="AL67" i="1"/>
  <c r="AM66" i="1"/>
  <c r="W65" i="2" s="1"/>
  <c r="AL68" i="1" l="1"/>
  <c r="AM67" i="1"/>
  <c r="W66" i="2" s="1"/>
  <c r="AC2" i="2"/>
  <c r="M17" i="5"/>
  <c r="AM68" i="1" l="1"/>
  <c r="W67" i="2" s="1"/>
  <c r="AL3" i="1"/>
  <c r="AC3" i="2" l="1"/>
  <c r="M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Karlsson</author>
  </authors>
  <commentList>
    <comment ref="J41" authorId="0" shapeId="0" xr:uid="{00000000-0006-0000-0300-000001000000}">
      <text>
        <r>
          <rPr>
            <sz val="9"/>
            <color indexed="81"/>
            <rFont val="Tahoma"/>
            <family val="2"/>
          </rPr>
          <t>600 mkr avser överföring till småföretagsfond, resten överföring till avvecklingsstyrelse av löntagarfonder. Bokförd överföring var 22 320, justering har gjorts för marknadsvärdering.
19293 lönt.f 1991-12-31 marknadsvärde, 21 668 bokfört värde.</t>
        </r>
      </text>
    </comment>
    <comment ref="T41" authorId="0" shapeId="0" xr:uid="{00000000-0006-0000-0300-000002000000}">
      <text>
        <r>
          <rPr>
            <sz val="9"/>
            <color indexed="81"/>
            <rFont val="Tahoma"/>
            <family val="2"/>
          </rPr>
          <t>Enligt propositionen skulle medlen överföras i början av 1992. Det är dock oklart om det blev så. Om det blev senare borde löntagafondernas ränteinkomster ändå inte ha blivit redovisade hos de andra AP-fonderna så det bör ändå bli rätt att anse att överförelsen skedde vid ingången av året.</t>
        </r>
      </text>
    </comment>
    <comment ref="E45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Återförda från avvecklingsstyrelsen (utanför AP-fonden) till nya 6:e AP-fonden.
</t>
        </r>
      </text>
    </comment>
    <comment ref="T48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</t>
        </r>
      </text>
    </comment>
    <comment ref="T49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
</t>
        </r>
      </text>
    </comment>
    <comment ref="T50" authorId="0" shapeId="0" xr:uid="{00000000-0006-0000-0300-000006000000}">
      <text>
        <r>
          <rPr>
            <sz val="9"/>
            <color indexed="81"/>
            <rFont val="Tahoma"/>
            <family val="2"/>
          </rPr>
          <t>De 155000 mnkr överfördes i princip första januari och bör inte ingå i basen för ränteberäkningen.</t>
        </r>
      </text>
    </comment>
    <comment ref="T53" authorId="0" shapeId="0" xr:uid="{00000000-0006-0000-0300-000007000000}">
      <text>
        <r>
          <rPr>
            <sz val="9"/>
            <color indexed="81"/>
            <rFont val="Tahoma"/>
            <family val="2"/>
          </rPr>
          <t xml:space="preserve">Överföringen på 1600 skedde i december. Därför borttaget i formeln.
</t>
        </r>
      </text>
    </comment>
  </commentList>
</comments>
</file>

<file path=xl/sharedStrings.xml><?xml version="1.0" encoding="utf-8"?>
<sst xmlns="http://schemas.openxmlformats.org/spreadsheetml/2006/main" count="165" uniqueCount="126">
  <si>
    <t>stration</t>
  </si>
  <si>
    <t>Admini-</t>
  </si>
  <si>
    <t>År</t>
  </si>
  <si>
    <t>Avgifter</t>
  </si>
  <si>
    <t xml:space="preserve">Räntor </t>
  </si>
  <si>
    <t>m.m.</t>
  </si>
  <si>
    <t>Inkomster</t>
  </si>
  <si>
    <t>Summa</t>
  </si>
  <si>
    <t>Utgifter</t>
  </si>
  <si>
    <t>Pensioner</t>
  </si>
  <si>
    <t>Övrigt</t>
  </si>
  <si>
    <t>Fondstyrka</t>
  </si>
  <si>
    <t>justerad</t>
  </si>
  <si>
    <t>Nominell  avkastning, procent</t>
  </si>
  <si>
    <t>avkastning</t>
  </si>
  <si>
    <t>Fond</t>
  </si>
  <si>
    <t>avkastning,</t>
  </si>
  <si>
    <t>procent</t>
  </si>
  <si>
    <t>vid utgången</t>
  </si>
  <si>
    <t>av året</t>
  </si>
  <si>
    <t>Fond-</t>
  </si>
  <si>
    <t>styrka</t>
  </si>
  <si>
    <t>Totalt</t>
  </si>
  <si>
    <t>Per år</t>
  </si>
  <si>
    <t>ändring</t>
  </si>
  <si>
    <t>Övriga</t>
  </si>
  <si>
    <t>inkomster</t>
  </si>
  <si>
    <t>utgifter</t>
  </si>
  <si>
    <t>Avkast-</t>
  </si>
  <si>
    <t>ning netto</t>
  </si>
  <si>
    <t>1980 bas</t>
  </si>
  <si>
    <t>1949 bas</t>
  </si>
  <si>
    <t>För-</t>
  </si>
  <si>
    <t>Real</t>
  </si>
  <si>
    <t xml:space="preserve">Genomsnittlig </t>
  </si>
  <si>
    <t xml:space="preserve">Genomsnittlig real </t>
  </si>
  <si>
    <t>avkastning per år, %</t>
  </si>
  <si>
    <t xml:space="preserve">    År</t>
  </si>
  <si>
    <t>Förklaringar:</t>
  </si>
  <si>
    <t>Källor:</t>
  </si>
  <si>
    <t xml:space="preserve">Från och med 2003 avses inkomstpension och tilläggspension från det reformerade ålderspensionssystemet. Dessutom ingår överföringar av pensionsrätter till de europeiska gemenskaperna. </t>
  </si>
  <si>
    <t xml:space="preserve">För åren 1999 - 2002 ingår ålderspension från ATP, viss folkpension samt från och med 2001 ny inkomstpension och tilläggspension. </t>
  </si>
  <si>
    <t>samt halva flödet</t>
  </si>
  <si>
    <t xml:space="preserve">Ackumulerad avkastning </t>
  </si>
  <si>
    <t>Ackumulerad real avkastning</t>
  </si>
  <si>
    <t>AP-fonderna, milj. kr</t>
  </si>
  <si>
    <t>AP-fonderna, milj. kr (exkl sjunde AP-fonden)</t>
  </si>
  <si>
    <t>Arbetsgivaravgifter och</t>
  </si>
  <si>
    <t>egenavgifter</t>
  </si>
  <si>
    <t>Allmän</t>
  </si>
  <si>
    <t>Pensionsavgift</t>
  </si>
  <si>
    <t>Statliga ålderspensionsavgifter</t>
  </si>
  <si>
    <t>För transfereringar</t>
  </si>
  <si>
    <t>För pensionsgrundande belopp (i huvudsak)</t>
  </si>
  <si>
    <t>från fond året innan</t>
  </si>
  <si>
    <t xml:space="preserve">Från och med 1982 ingår även inkomster över "taket" i avgiftsunderlaget. Det är förklaringen till att procentsatsen sänktes detta år. </t>
  </si>
  <si>
    <t>Fond vid utgången av året</t>
  </si>
  <si>
    <t>bokförda</t>
  </si>
  <si>
    <t>värden</t>
  </si>
  <si>
    <t>marknadsvärden</t>
  </si>
  <si>
    <t>vid skillnad se not</t>
  </si>
  <si>
    <t>marknadsvärde</t>
  </si>
  <si>
    <t>KPI i december</t>
  </si>
  <si>
    <t>Fr.o.m.1960</t>
  </si>
  <si>
    <t>Avgifter till ATP-systemet respektive ålderspensionssystemet i procent av avgiftsunderlaget för respektive avgift</t>
  </si>
  <si>
    <t xml:space="preserve">Den allmänna pensionsavgiften förs i sin helhet till AP-fonderna. </t>
  </si>
  <si>
    <t>Genomsnittlig avkastning</t>
  </si>
  <si>
    <t>Realt</t>
  </si>
  <si>
    <t>Nominellt</t>
  </si>
  <si>
    <t>mellan andra år, %:</t>
  </si>
  <si>
    <r>
      <t xml:space="preserve">Startår </t>
    </r>
    <r>
      <rPr>
        <sz val="10"/>
        <rFont val="Arial"/>
        <family val="2"/>
      </rPr>
      <t>(tidigast 1959)</t>
    </r>
    <r>
      <rPr>
        <b/>
        <sz val="10"/>
        <rFont val="Arial"/>
        <family val="2"/>
      </rPr>
      <t xml:space="preserve"> </t>
    </r>
  </si>
  <si>
    <t xml:space="preserve">Den finansierade inte enbart ålderspension från ATP-systemet utan även förtidspension och efterlevandepension. </t>
  </si>
  <si>
    <t>flera andra folkpensionsförmåner. Den har inte tagits med i tabellen.</t>
  </si>
  <si>
    <t xml:space="preserve">Före 1999 fanns också en folkpensionsavgift som delfinansierade ålderspension, förtidspension, efterlevandepension och </t>
  </si>
  <si>
    <t>Före 1999 benämndes avgiften (arbetsgivaravgiften och egenavgiften) ATP-avgift. Den fördes före 1995 i sin helhet till AP-fonderna.</t>
  </si>
  <si>
    <t>Från och med 1995 fördelas arbetsgivaravgifterna och egenavgifterna mellan AP-fonderna, premiepensionssystemet och statsbudgeten.</t>
  </si>
  <si>
    <t>Mellan åren 1986 och 1999 redovisade AP-fonderna fondkapitalet på två sätt, bokförda värden (anskaffningsvärden) respektive marknadsvärden. Efter 1999 redovisas bara marknadsvärden.</t>
  </si>
  <si>
    <t xml:space="preserve">Administrationsutgifterna består dels av AP-fondernas redovisade administrationskostnader, dels av belopp som Pensionsmyndigheten (tidigare Försäkringskassan med föregångare) och </t>
  </si>
  <si>
    <t>År 2001 gjordes en stor förändring. Från och med detta år finns fyra likvärdiga AP-fonder som tillförts lika mycket kapital och har lika stora pensionsutbetalningar.</t>
  </si>
  <si>
    <t xml:space="preserve">Under perioden 1984-1991 fanns fem löntagarfonder som ingick i AP-fonden. År 1989 inrättades den Femte AP-fonden. Även dessa fonder placerade medlen i aktier i huvudsak. </t>
  </si>
  <si>
    <t>och utgör några procent av den totala AP-fonden. Under flera år efter 2001 fanns också två avvecklingsfonder (särskild förvaltning). Även de ingår i tabellen.</t>
  </si>
  <si>
    <t>År 1996 inrättades en Sjätte AP-fond med en annan placeringsinriktning än övriga AP-fonder. Den fonden investerar i onoterade bolag.</t>
  </si>
  <si>
    <t>Med avgifter i tabellen avses arbetsgivaravgifter, egenavgifter, allmän pensionsavgift (från och med 1995) och statliga ålderspensionsavgifter (från och med 1999).</t>
  </si>
  <si>
    <t xml:space="preserve">Övriga inkomster är främst vinstdelningsskatt och tillfällig vinstskatt som fördes till löntagarfonderna. Som övriga inkomster redovisas också återstående medel från </t>
  </si>
  <si>
    <t>löntagarfonderna som 1996 lade grunden till den Sjätte AP-fonden.</t>
  </si>
  <si>
    <t>I "Avkastning netto" ingår netto av ränteinkomster och ränteutgifter, aktieutdelningar, netto av kursvinster och kursförluster, valutakursförändringar m.m. Även provisions-</t>
  </si>
  <si>
    <t>kostnader ingår som avdrag från och med 2005. Före år 2001 investerade AP-fonderna i obligationer i huvudsak. Detta påverkar avkastningen och ackumulerad avkastning.</t>
  </si>
  <si>
    <t>Fondstyrka är fond vid utgången av året dividerat med årets summa av pensionsutbetalningar och administrationsutgifter .</t>
  </si>
  <si>
    <t>Avkastningen i procent är beräknad som summa avkastning netto dividerat med ingående fondkapital och hälften av "flödet" (dvs. avgifter och övriga inkomster minskat med utgifterna).</t>
  </si>
  <si>
    <t>Ursprungligen fanns tre AP-fonder som i huvudsak placerade medlen i obligationer. År 1974 inrättades den Fjärde AP-fonden som i huvudsak placerade medlen i aktier.</t>
  </si>
  <si>
    <t>Procentsatserna för avgifterna har tidigare varierat men från och med år 2000 har avgifterna varit oförändrade. Se vidare en särskild tabell över avgifterna.</t>
  </si>
  <si>
    <t xml:space="preserve">Den allmänna pensionsavgiften förs i sin helhet till AP-fonderna. Den statliga ålderspensionsavgiften fördelas mellan AP-fonderna och premiepensionssystemet. </t>
  </si>
  <si>
    <t>Real avkastning är beräknad från nominell avkastning där förändringen av konsumentpriserna mellan december året innan och december aktuellt år har räknats bort.</t>
  </si>
  <si>
    <t>Skatteförvaltningen m.m. erhåller från AP-fonderna för att täcka kostnaderna för pensionsadministrationen. År 2005 ändrade AP-fonderna redovisningen av administrationskostnaderna.</t>
  </si>
  <si>
    <t xml:space="preserve">Från och med detta år redovisas till exempel provisionskostnader som negativ intäkt och påverkar därmed redovisad avkastning i tabellen. </t>
  </si>
  <si>
    <t>Gamla statistikinformationer, egna sammanställningar från AP-fondernas årsredovisningar samt SCB vad gäller KPI.</t>
  </si>
  <si>
    <t>Efter 1959</t>
  </si>
  <si>
    <t xml:space="preserve">till premiepensionssystemet. </t>
  </si>
  <si>
    <t>Fördelningen varierar mellan åren. Från och med 2000 brukar ungefär 70 procent av avgifterna föras till AP-fonderna,</t>
  </si>
  <si>
    <t xml:space="preserve">samt en särskild reglering avseende tidigare år som gjordes 2004. </t>
  </si>
  <si>
    <t xml:space="preserve">Övriga utgifter är överföringar till en småföretagsfond vissa år (t.ex. 600 mnkr år 1992), avveckling av löntagarfonderna 1992 (beräknat marknadsvärde) och överföringar till statsbudgeten 1999-2001 </t>
  </si>
  <si>
    <t>Avkastning,</t>
  </si>
  <si>
    <t>INNEHÅLLSFÖRTECKNING</t>
  </si>
  <si>
    <t>Tabell AP-fonderna</t>
  </si>
  <si>
    <t>Tabell avgifter</t>
  </si>
  <si>
    <t>Beräkning av genomsnittlig årsavkastning</t>
  </si>
  <si>
    <t>mellan valfria år  i procent:</t>
  </si>
  <si>
    <t>Ange</t>
  </si>
  <si>
    <t xml:space="preserve">ungefär 20 procent till premiepensionssystemet och resten till statsbudgeten. </t>
  </si>
  <si>
    <t>Efter 2000</t>
  </si>
  <si>
    <t>Fr.o.m.2001</t>
  </si>
  <si>
    <t>Se även en rapport från 2012 "AP-fonderna inkomster, utgifter, fondkapital och avkastning "</t>
  </si>
  <si>
    <t>(mellan 31/12 startåret</t>
  </si>
  <si>
    <t>och 31/12 slutåret)</t>
  </si>
  <si>
    <t>De statliga ålderspensionsavgifterna fördelas mellan AP-fonderna och premiepensionssystemet. Mellan 12 och 15 procent brukar föras</t>
  </si>
  <si>
    <t xml:space="preserve">Hur stor andel som har förts till AP-fonderna har varierat men det har oftast legat mellan 85 och 88 procent. Arbetsgivaravgifter och egenavgifter fördelas mellan </t>
  </si>
  <si>
    <t>Pensionsutbetalningar före år 1999 är ålderspension, förtidspension/sjukbidrag, änkepension och barnpension från ATP-systemet. Dessutom omställningspension m.m. från och med 1990.</t>
  </si>
  <si>
    <t>https://www.pensionsmyndigheten.se/statistik-och-rapporter/Rapporter/rapporter</t>
  </si>
  <si>
    <t>AP-fonderna, premiepensionssystemet och statsbudgeten. Den andel som förts till AP-fonderna har från och med år 2000 oftast varit 69–70 procent.</t>
  </si>
  <si>
    <t>I tabellen ovan redovisas marknadsvärden även under perioden 1986–1999. Detta påverkar även redovisad avkastning.</t>
  </si>
  <si>
    <t>Formlerna för beräkning av avkastning har modifierats vissa år när flödet har varit mycket ojämnt fördelat över året. Detta gäller åren 1992, 1999–2001 och 2004.</t>
  </si>
  <si>
    <t>Dessa fonder placerar sina medel till stor del i aktier men även i obligationer m.m. Sjätte AP-fonden finns kvar och den är betydligt mindre än de övriga</t>
  </si>
  <si>
    <r>
      <t xml:space="preserve">Det finns också en Sjunde AP-fond. Denna fond tillhör premiepensionssystemet och ingår </t>
    </r>
    <r>
      <rPr>
        <i/>
        <sz val="10"/>
        <rFont val="Arial"/>
        <family val="2"/>
      </rPr>
      <t>inte</t>
    </r>
    <r>
      <rPr>
        <sz val="10"/>
        <rFont val="Arial"/>
        <family val="2"/>
      </rPr>
      <t xml:space="preserve"> i tabellen. För mer information se </t>
    </r>
    <r>
      <rPr>
        <i/>
        <sz val="10"/>
        <rFont val="Arial"/>
        <family val="2"/>
      </rPr>
      <t>Lag (2000:192) om allmänna pensionsfonder (AP-fonder)</t>
    </r>
  </si>
  <si>
    <t>Tabell över AP-fondernas summerade  utveckling, 1960–2020</t>
  </si>
  <si>
    <t>Tabell över ålderspensionsavgifterna, 1960–2020</t>
  </si>
  <si>
    <r>
      <t xml:space="preserve">Slutår </t>
    </r>
    <r>
      <rPr>
        <sz val="10"/>
        <rFont val="Arial"/>
        <family val="2"/>
      </rPr>
      <t>(senast 2020)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</si>
</sst>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r_-;\-* #,##0.00\ _k_r_-;_-* &quot;-&quot;??\ _k_r_-;_-@_-"/>
    <numFmt numFmtId="164" formatCode="0.0"/>
    <numFmt numFmtId="165" formatCode="0.0000"/>
    <numFmt numFmtId="166" formatCode="#,##0.0"/>
    <numFmt numFmtId="167" formatCode="#,##0.00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46"/>
      <name val="Arial"/>
      <family val="2"/>
    </font>
    <font>
      <sz val="10"/>
      <color rgb="FF7030A0"/>
      <name val="Arial"/>
      <family val="2"/>
    </font>
    <font>
      <sz val="10"/>
      <color theme="9" tint="0.59999389629810485"/>
      <name val="Arial"/>
      <family val="2"/>
    </font>
    <font>
      <sz val="10"/>
      <color rgb="FF0070C0"/>
      <name val="Arial"/>
      <family val="2"/>
    </font>
    <font>
      <sz val="10"/>
      <color theme="2" tint="-0.749992370372631"/>
      <name val="Arial"/>
      <family val="2"/>
    </font>
    <font>
      <sz val="10"/>
      <color theme="8" tint="-0.249977111117893"/>
      <name val="Arial"/>
      <family val="2"/>
    </font>
    <font>
      <sz val="10"/>
      <color theme="7" tint="0.39997558519241921"/>
      <name val="Arial"/>
      <family val="2"/>
    </font>
    <font>
      <b/>
      <sz val="10"/>
      <color rgb="FFC00000"/>
      <name val="Arial"/>
      <family val="2"/>
    </font>
    <font>
      <i/>
      <sz val="10"/>
      <name val="Arial"/>
      <family val="2"/>
    </font>
    <font>
      <b/>
      <sz val="10.5"/>
      <color indexed="53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color theme="9" tint="-0.24997711111789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5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/>
    <xf numFmtId="2" fontId="5" fillId="0" borderId="0" xfId="0" applyNumberFormat="1" applyFont="1"/>
    <xf numFmtId="0" fontId="1" fillId="0" borderId="0" xfId="0" applyFont="1"/>
    <xf numFmtId="3" fontId="1" fillId="0" borderId="0" xfId="0" applyNumberFormat="1" applyFont="1"/>
    <xf numFmtId="2" fontId="0" fillId="0" borderId="0" xfId="0" applyNumberFormat="1"/>
    <xf numFmtId="0" fontId="5" fillId="0" borderId="0" xfId="0" applyFont="1"/>
    <xf numFmtId="1" fontId="0" fillId="0" borderId="0" xfId="0" applyNumberFormat="1"/>
    <xf numFmtId="3" fontId="1" fillId="0" borderId="0" xfId="0" applyNumberFormat="1" applyFont="1" applyFill="1"/>
    <xf numFmtId="4" fontId="1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 applyProtection="1">
      <alignment horizontal="right"/>
      <protection locked="0"/>
    </xf>
    <xf numFmtId="3" fontId="12" fillId="0" borderId="0" xfId="0" applyNumberFormat="1" applyFont="1"/>
    <xf numFmtId="166" fontId="0" fillId="0" borderId="0" xfId="0" applyNumberFormat="1"/>
    <xf numFmtId="0" fontId="0" fillId="0" borderId="0" xfId="0" applyFill="1"/>
    <xf numFmtId="2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 applyProtection="1">
      <alignment horizontal="right"/>
      <protection locked="0"/>
    </xf>
    <xf numFmtId="3" fontId="0" fillId="0" borderId="0" xfId="0" applyNumberFormat="1" applyFill="1"/>
    <xf numFmtId="167" fontId="0" fillId="0" borderId="0" xfId="0" applyNumberFormat="1"/>
    <xf numFmtId="3" fontId="13" fillId="0" borderId="0" xfId="0" applyNumberFormat="1" applyFont="1"/>
    <xf numFmtId="3" fontId="14" fillId="0" borderId="0" xfId="0" applyNumberFormat="1" applyFont="1"/>
    <xf numFmtId="165" fontId="0" fillId="0" borderId="0" xfId="0" applyNumberFormat="1"/>
    <xf numFmtId="0" fontId="0" fillId="2" borderId="0" xfId="0" applyFill="1"/>
    <xf numFmtId="0" fontId="15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164" fontId="15" fillId="0" borderId="0" xfId="0" applyNumberFormat="1" applyFont="1" applyAlignment="1" applyProtection="1">
      <alignment horizontal="right"/>
      <protection locked="0"/>
    </xf>
    <xf numFmtId="0" fontId="10" fillId="2" borderId="0" xfId="0" applyFont="1" applyFill="1"/>
    <xf numFmtId="0" fontId="17" fillId="0" borderId="0" xfId="0" applyFont="1"/>
    <xf numFmtId="0" fontId="2" fillId="2" borderId="0" xfId="0" applyFont="1" applyFill="1"/>
    <xf numFmtId="0" fontId="18" fillId="2" borderId="0" xfId="0" applyFont="1" applyFill="1"/>
    <xf numFmtId="2" fontId="0" fillId="2" borderId="0" xfId="0" applyNumberFormat="1" applyFill="1"/>
    <xf numFmtId="2" fontId="10" fillId="2" borderId="0" xfId="0" applyNumberFormat="1" applyFont="1" applyFill="1"/>
    <xf numFmtId="0" fontId="19" fillId="2" borderId="0" xfId="0" applyFont="1" applyFill="1"/>
    <xf numFmtId="2" fontId="2" fillId="0" borderId="0" xfId="0" applyNumberFormat="1" applyFont="1"/>
    <xf numFmtId="0" fontId="15" fillId="0" borderId="0" xfId="0" applyFont="1"/>
    <xf numFmtId="0" fontId="1" fillId="0" borderId="0" xfId="1"/>
    <xf numFmtId="0" fontId="21" fillId="3" borderId="0" xfId="1" applyFont="1" applyFill="1" applyAlignment="1">
      <alignment horizontal="left" indent="1"/>
    </xf>
    <xf numFmtId="0" fontId="1" fillId="0" borderId="0" xfId="1" applyAlignment="1">
      <alignment horizontal="left" indent="1"/>
    </xf>
    <xf numFmtId="0" fontId="1" fillId="4" borderId="0" xfId="1" applyFill="1"/>
    <xf numFmtId="0" fontId="2" fillId="4" borderId="0" xfId="1" applyFont="1" applyFill="1"/>
    <xf numFmtId="0" fontId="2" fillId="4" borderId="0" xfId="1" applyFont="1" applyFill="1" applyAlignment="1">
      <alignment horizontal="right"/>
    </xf>
    <xf numFmtId="0" fontId="1" fillId="4" borderId="0" xfId="1" applyFont="1" applyFill="1"/>
    <xf numFmtId="2" fontId="1" fillId="4" borderId="0" xfId="1" applyNumberFormat="1" applyFill="1"/>
    <xf numFmtId="2" fontId="1" fillId="4" borderId="0" xfId="1" applyNumberFormat="1" applyFont="1" applyFill="1"/>
    <xf numFmtId="0" fontId="19" fillId="4" borderId="0" xfId="1" applyFont="1" applyFill="1"/>
    <xf numFmtId="0" fontId="24" fillId="0" borderId="0" xfId="1" applyFont="1"/>
    <xf numFmtId="0" fontId="25" fillId="0" borderId="0" xfId="2"/>
    <xf numFmtId="3" fontId="1" fillId="0" borderId="0" xfId="3" applyNumberFormat="1" applyFont="1"/>
    <xf numFmtId="0" fontId="1" fillId="0" borderId="0" xfId="0" applyFont="1" applyFill="1" applyAlignment="1" applyProtection="1">
      <alignment horizontal="right"/>
      <protection locked="0"/>
    </xf>
    <xf numFmtId="3" fontId="27" fillId="0" borderId="0" xfId="0" applyNumberFormat="1" applyFont="1" applyFill="1"/>
    <xf numFmtId="0" fontId="1" fillId="4" borderId="0" xfId="1" quotePrefix="1" applyFont="1" applyFill="1"/>
    <xf numFmtId="164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Fill="1"/>
    <xf numFmtId="164" fontId="1" fillId="0" borderId="0" xfId="0" applyNumberFormat="1" applyFont="1" applyFill="1"/>
    <xf numFmtId="1" fontId="1" fillId="0" borderId="0" xfId="0" applyNumberFormat="1" applyFont="1" applyFill="1"/>
    <xf numFmtId="1" fontId="1" fillId="0" borderId="0" xfId="0" applyNumberFormat="1" applyFont="1"/>
    <xf numFmtId="3" fontId="28" fillId="0" borderId="0" xfId="0" applyNumberFormat="1" applyFont="1"/>
    <xf numFmtId="0" fontId="28" fillId="0" borderId="0" xfId="0" applyFont="1"/>
    <xf numFmtId="2" fontId="28" fillId="0" borderId="0" xfId="0" applyNumberFormat="1" applyFont="1" applyFill="1"/>
    <xf numFmtId="165" fontId="28" fillId="0" borderId="0" xfId="0" applyNumberFormat="1" applyFont="1"/>
    <xf numFmtId="0" fontId="28" fillId="0" borderId="0" xfId="0" applyFont="1" applyFill="1"/>
    <xf numFmtId="1" fontId="28" fillId="0" borderId="0" xfId="0" applyNumberFormat="1" applyFont="1" applyFill="1"/>
    <xf numFmtId="3" fontId="28" fillId="0" borderId="0" xfId="0" applyNumberFormat="1" applyFont="1" applyFill="1"/>
    <xf numFmtId="2" fontId="16" fillId="0" borderId="0" xfId="0" applyNumberFormat="1" applyFont="1"/>
    <xf numFmtId="164" fontId="0" fillId="2" borderId="0" xfId="0" applyNumberFormat="1" applyFill="1"/>
    <xf numFmtId="0" fontId="22" fillId="0" borderId="0" xfId="1" applyFont="1" applyAlignment="1">
      <alignment horizontal="left" indent="1"/>
    </xf>
    <xf numFmtId="0" fontId="23" fillId="0" borderId="0" xfId="1" applyFont="1" applyAlignment="1"/>
    <xf numFmtId="0" fontId="1" fillId="0" borderId="0" xfId="1" applyAlignment="1"/>
  </cellXfs>
  <cellStyles count="4">
    <cellStyle name="Hyperlänk" xfId="2" builtinId="8"/>
    <cellStyle name="Normal" xfId="0" builtinId="0"/>
    <cellStyle name="Normal 2" xfId="1" xr:uid="{00000000-0005-0000-0000-000002000000}"/>
    <cellStyle name="Tusental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Genomsnittlig real avkastning per år, 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019494979070024E-2"/>
          <c:y val="0.14062992083449249"/>
          <c:w val="0.84130559543210104"/>
          <c:h val="0.79441542900599438"/>
        </c:manualLayout>
      </c:layout>
      <c:lineChart>
        <c:grouping val="standard"/>
        <c:varyColors val="0"/>
        <c:ser>
          <c:idx val="0"/>
          <c:order val="0"/>
          <c:tx>
            <c:strRef>
              <c:f>'Tabell AP-fonderna'!$W$4:$W$5</c:f>
              <c:strCache>
                <c:ptCount val="2"/>
                <c:pt idx="0">
                  <c:v>Genomsnittlig real </c:v>
                </c:pt>
                <c:pt idx="1">
                  <c:v>avkastning per år, %</c:v>
                </c:pt>
              </c:strCache>
            </c:strRef>
          </c:tx>
          <c:marker>
            <c:symbol val="none"/>
          </c:marker>
          <c:cat>
            <c:numRef>
              <c:f>'Tabell AP-fonderna'!$A$8:$A$67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'Tabell AP-fonderna'!$W$8:$W$67</c:f>
              <c:numCache>
                <c:formatCode>0.00</c:formatCode>
                <c:ptCount val="60"/>
                <c:pt idx="0">
                  <c:v>1.2070815450643702</c:v>
                </c:pt>
                <c:pt idx="1">
                  <c:v>2.0542006758471398</c:v>
                </c:pt>
                <c:pt idx="2">
                  <c:v>1.6159144268349079</c:v>
                </c:pt>
                <c:pt idx="3">
                  <c:v>1.6861585517381483</c:v>
                </c:pt>
                <c:pt idx="4">
                  <c:v>1.746370486720572</c:v>
                </c:pt>
                <c:pt idx="5">
                  <c:v>1.4008015618968805</c:v>
                </c:pt>
                <c:pt idx="6">
                  <c:v>1.2343817293706039</c:v>
                </c:pt>
                <c:pt idx="7">
                  <c:v>1.4712675591760815</c:v>
                </c:pt>
                <c:pt idx="8">
                  <c:v>1.7212117958023576</c:v>
                </c:pt>
                <c:pt idx="9">
                  <c:v>1.8016445881807286</c:v>
                </c:pt>
                <c:pt idx="10">
                  <c:v>1.4976487653040493</c:v>
                </c:pt>
                <c:pt idx="11">
                  <c:v>1.340787814960942</c:v>
                </c:pt>
                <c:pt idx="12">
                  <c:v>1.2782271870474649</c:v>
                </c:pt>
                <c:pt idx="13">
                  <c:v>1.1430227900143919</c:v>
                </c:pt>
                <c:pt idx="14">
                  <c:v>0.78537179875459717</c:v>
                </c:pt>
                <c:pt idx="15">
                  <c:v>0.64099778504149718</c:v>
                </c:pt>
                <c:pt idx="16">
                  <c:v>0.490210108287914</c:v>
                </c:pt>
                <c:pt idx="17">
                  <c:v>0.21968988793570343</c:v>
                </c:pt>
                <c:pt idx="18">
                  <c:v>0.24286205776118397</c:v>
                </c:pt>
                <c:pt idx="19">
                  <c:v>0.17318874954903585</c:v>
                </c:pt>
                <c:pt idx="20">
                  <c:v>-4.5534663502921902E-2</c:v>
                </c:pt>
                <c:pt idx="21">
                  <c:v>-9.6502226559325166E-3</c:v>
                </c:pt>
                <c:pt idx="22">
                  <c:v>2.3727098449577433E-2</c:v>
                </c:pt>
                <c:pt idx="23">
                  <c:v>0.10511656425644667</c:v>
                </c:pt>
                <c:pt idx="24">
                  <c:v>0.21919109431018935</c:v>
                </c:pt>
                <c:pt idx="25">
                  <c:v>0.42195879839810324</c:v>
                </c:pt>
                <c:pt idx="26">
                  <c:v>0.72441231992625976</c:v>
                </c:pt>
                <c:pt idx="27">
                  <c:v>0.89257051527440456</c:v>
                </c:pt>
                <c:pt idx="28">
                  <c:v>1.1834119874123639</c:v>
                </c:pt>
                <c:pt idx="29">
                  <c:v>1.1832725876087968</c:v>
                </c:pt>
                <c:pt idx="30">
                  <c:v>1.079170625397019</c:v>
                </c:pt>
                <c:pt idx="31">
                  <c:v>1.2357667477986167</c:v>
                </c:pt>
                <c:pt idx="32">
                  <c:v>1.5144900498510472</c:v>
                </c:pt>
                <c:pt idx="33">
                  <c:v>1.8704935288050395</c:v>
                </c:pt>
                <c:pt idx="34">
                  <c:v>1.7587084924628016</c:v>
                </c:pt>
                <c:pt idx="35">
                  <c:v>2.0751872742915678</c:v>
                </c:pt>
                <c:pt idx="36">
                  <c:v>2.4574271210537901</c:v>
                </c:pt>
                <c:pt idx="37">
                  <c:v>2.5832784468451386</c:v>
                </c:pt>
                <c:pt idx="38">
                  <c:v>2.7868824614542875</c:v>
                </c:pt>
                <c:pt idx="39">
                  <c:v>2.9479312218062548</c:v>
                </c:pt>
                <c:pt idx="40">
                  <c:v>2.9437320929254662</c:v>
                </c:pt>
                <c:pt idx="41">
                  <c:v>2.7011129502289011</c:v>
                </c:pt>
                <c:pt idx="42">
                  <c:v>2.2051039186600674</c:v>
                </c:pt>
                <c:pt idx="43">
                  <c:v>2.4842949627129629</c:v>
                </c:pt>
                <c:pt idx="44">
                  <c:v>2.6646062020279526</c:v>
                </c:pt>
                <c:pt idx="45">
                  <c:v>2.948777797136537</c:v>
                </c:pt>
                <c:pt idx="46">
                  <c:v>3.0735818107361146</c:v>
                </c:pt>
                <c:pt idx="47">
                  <c:v>3.0268905851073002</c:v>
                </c:pt>
                <c:pt idx="48">
                  <c:v>2.4365941124118606</c:v>
                </c:pt>
                <c:pt idx="49">
                  <c:v>2.7345855106460037</c:v>
                </c:pt>
                <c:pt idx="50">
                  <c:v>2.832375568013612</c:v>
                </c:pt>
                <c:pt idx="51">
                  <c:v>2.7018414854773631</c:v>
                </c:pt>
                <c:pt idx="52">
                  <c:v>2.8662430880546319</c:v>
                </c:pt>
                <c:pt idx="53">
                  <c:v>3.0520621872878406</c:v>
                </c:pt>
                <c:pt idx="54">
                  <c:v>3.2499649146580101</c:v>
                </c:pt>
                <c:pt idx="55">
                  <c:v>3.2916896236553139</c:v>
                </c:pt>
                <c:pt idx="56">
                  <c:v>3.3703695523148891</c:v>
                </c:pt>
                <c:pt idx="57">
                  <c:v>3.4383474059794583</c:v>
                </c:pt>
                <c:pt idx="58">
                  <c:v>3.3427761273943091</c:v>
                </c:pt>
                <c:pt idx="59">
                  <c:v>3.5348808385373465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5-452B-B544-D9F5812B4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57888"/>
        <c:axId val="166759424"/>
      </c:lineChart>
      <c:catAx>
        <c:axId val="1667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759424"/>
        <c:crosses val="autoZero"/>
        <c:auto val="1"/>
        <c:lblAlgn val="ctr"/>
        <c:lblOffset val="100"/>
        <c:noMultiLvlLbl val="0"/>
      </c:catAx>
      <c:valAx>
        <c:axId val="166759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67578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3</xdr:row>
      <xdr:rowOff>104775</xdr:rowOff>
    </xdr:to>
    <xdr:pic>
      <xdr:nvPicPr>
        <xdr:cNvPr id="2" name="Picture 3" descr="Pensionsmyndigheten_rgb 37 m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19049</xdr:colOff>
      <xdr:row>22</xdr:row>
      <xdr:rowOff>14285</xdr:rowOff>
    </xdr:from>
    <xdr:to>
      <xdr:col>16</xdr:col>
      <xdr:colOff>523875</xdr:colOff>
      <xdr:row>44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nsionsmyndigheten.se/statistik-och-rapporter/Rapporter/rapport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tabSelected="1" zoomScaleNormal="100" workbookViewId="0">
      <selection activeCell="A9" sqref="A9"/>
    </sheetView>
  </sheetViews>
  <sheetFormatPr defaultColWidth="9.109375" defaultRowHeight="13.2" x14ac:dyDescent="0.25"/>
  <cols>
    <col min="1" max="2" width="9.109375" style="44"/>
    <col min="3" max="3" width="11.5546875" style="44" customWidth="1"/>
    <col min="4" max="5" width="9.109375" style="44"/>
    <col min="6" max="6" width="50.109375" style="44" customWidth="1"/>
    <col min="7" max="9" width="9.109375" style="44"/>
    <col min="10" max="10" width="10.88671875" style="44" customWidth="1"/>
    <col min="11" max="12" width="9.109375" style="44"/>
    <col min="13" max="13" width="17.88671875" style="44" customWidth="1"/>
    <col min="14" max="14" width="10.88671875" style="44" customWidth="1"/>
    <col min="15" max="16384" width="9.109375" style="44"/>
  </cols>
  <sheetData>
    <row r="2" spans="1:14" ht="23.25" customHeight="1" x14ac:dyDescent="0.25"/>
    <row r="5" spans="1:14" ht="13.8" x14ac:dyDescent="0.25">
      <c r="A5" s="45" t="s">
        <v>102</v>
      </c>
    </row>
    <row r="7" spans="1:14" ht="15" x14ac:dyDescent="0.25">
      <c r="A7" s="75" t="s">
        <v>103</v>
      </c>
      <c r="B7" s="75"/>
      <c r="C7" s="75"/>
      <c r="D7" s="75" t="s">
        <v>123</v>
      </c>
      <c r="E7" s="75"/>
      <c r="F7" s="75"/>
      <c r="G7" s="46"/>
    </row>
    <row r="8" spans="1:14" ht="15" x14ac:dyDescent="0.25">
      <c r="A8" s="75" t="s">
        <v>104</v>
      </c>
      <c r="B8" s="75"/>
      <c r="C8" s="75"/>
      <c r="D8" s="75" t="s">
        <v>124</v>
      </c>
      <c r="E8" s="75"/>
      <c r="F8" s="75"/>
    </row>
    <row r="11" spans="1:14" ht="26.25" customHeight="1" x14ac:dyDescent="0.25"/>
    <row r="12" spans="1:14" ht="22.8" x14ac:dyDescent="0.4">
      <c r="A12" s="54" t="s">
        <v>111</v>
      </c>
      <c r="B12" s="54"/>
      <c r="C12" s="54"/>
      <c r="D12" s="54"/>
      <c r="H12" s="76" t="s">
        <v>105</v>
      </c>
      <c r="I12" s="77"/>
      <c r="J12" s="77"/>
      <c r="K12" s="77"/>
      <c r="L12" s="77"/>
      <c r="M12" s="77"/>
      <c r="N12" s="77"/>
    </row>
    <row r="13" spans="1:14" x14ac:dyDescent="0.25">
      <c r="A13" s="55"/>
      <c r="H13" s="47"/>
      <c r="I13" s="47"/>
      <c r="J13" s="47"/>
      <c r="K13" s="47"/>
      <c r="L13" s="47"/>
      <c r="M13" s="47"/>
    </row>
    <row r="14" spans="1:14" x14ac:dyDescent="0.25">
      <c r="A14" s="55" t="s">
        <v>117</v>
      </c>
      <c r="H14" s="47"/>
      <c r="I14" s="47"/>
      <c r="J14" s="47"/>
      <c r="K14" s="47"/>
      <c r="L14" s="48" t="s">
        <v>66</v>
      </c>
      <c r="M14" s="48"/>
    </row>
    <row r="15" spans="1:14" x14ac:dyDescent="0.25">
      <c r="A15" s="55"/>
      <c r="H15" s="47"/>
      <c r="I15" s="50" t="s">
        <v>66</v>
      </c>
      <c r="J15" s="47"/>
      <c r="K15" s="47"/>
      <c r="L15" s="48" t="s">
        <v>106</v>
      </c>
      <c r="M15" s="48"/>
    </row>
    <row r="16" spans="1:14" x14ac:dyDescent="0.25">
      <c r="H16" s="47"/>
      <c r="I16" s="50" t="s">
        <v>69</v>
      </c>
      <c r="J16" s="47"/>
      <c r="K16" s="47"/>
      <c r="L16" s="47"/>
      <c r="M16" s="49"/>
    </row>
    <row r="17" spans="8:13" x14ac:dyDescent="0.25">
      <c r="H17" s="47"/>
      <c r="I17" s="59" t="s">
        <v>112</v>
      </c>
      <c r="J17" s="50"/>
      <c r="K17" s="47"/>
      <c r="L17" s="50" t="s">
        <v>68</v>
      </c>
      <c r="M17" s="51">
        <f>Beräkning!X3</f>
        <v>6.3287012201353354</v>
      </c>
    </row>
    <row r="18" spans="8:13" x14ac:dyDescent="0.25">
      <c r="H18" s="47"/>
      <c r="I18" s="59" t="s">
        <v>113</v>
      </c>
      <c r="J18" s="50"/>
      <c r="K18" s="47"/>
      <c r="L18" s="50" t="s">
        <v>67</v>
      </c>
      <c r="M18" s="52">
        <f>Beräkning!AL3</f>
        <v>4.9724229767773576</v>
      </c>
    </row>
    <row r="19" spans="8:13" x14ac:dyDescent="0.25">
      <c r="H19" s="48" t="s">
        <v>107</v>
      </c>
      <c r="I19" s="48" t="s">
        <v>70</v>
      </c>
      <c r="J19" s="48"/>
      <c r="K19" s="53">
        <v>2000</v>
      </c>
      <c r="L19" s="47"/>
      <c r="M19" s="47"/>
    </row>
    <row r="20" spans="8:13" x14ac:dyDescent="0.25">
      <c r="H20" s="48" t="s">
        <v>107</v>
      </c>
      <c r="I20" s="48" t="s">
        <v>125</v>
      </c>
      <c r="J20" s="48"/>
      <c r="K20" s="53">
        <v>2020</v>
      </c>
      <c r="L20" s="47"/>
      <c r="M20" s="47"/>
    </row>
  </sheetData>
  <mergeCells count="5">
    <mergeCell ref="A7:C7"/>
    <mergeCell ref="D7:F7"/>
    <mergeCell ref="A8:C8"/>
    <mergeCell ref="D8:F8"/>
    <mergeCell ref="H12:N12"/>
  </mergeCells>
  <hyperlinks>
    <hyperlink ref="A14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13"/>
  <sheetViews>
    <sheetView zoomScaleNormal="100" workbookViewId="0">
      <pane xSplit="1" ySplit="6" topLeftCell="B49" activePane="bottomRight" state="frozen"/>
      <selection pane="topRight" activeCell="B1" sqref="B1"/>
      <selection pane="bottomLeft" activeCell="A7" sqref="A7"/>
      <selection pane="bottomRight" activeCell="C92" sqref="C92"/>
    </sheetView>
  </sheetViews>
  <sheetFormatPr defaultRowHeight="13.2" x14ac:dyDescent="0.25"/>
  <cols>
    <col min="1" max="1" width="6.44140625" customWidth="1"/>
    <col min="2" max="2" width="3.6640625" customWidth="1"/>
    <col min="4" max="4" width="10.44140625" customWidth="1"/>
    <col min="5" max="5" width="10.6640625" customWidth="1"/>
    <col min="6" max="6" width="9.88671875" customWidth="1"/>
    <col min="7" max="7" width="4.88671875" customWidth="1"/>
    <col min="8" max="8" width="10.109375" customWidth="1"/>
    <col min="10" max="10" width="8.109375" customWidth="1"/>
    <col min="12" max="12" width="6.6640625" customWidth="1"/>
    <col min="13" max="13" width="12.109375" customWidth="1"/>
    <col min="14" max="14" width="2" customWidth="1"/>
    <col min="15" max="15" width="8.109375" customWidth="1"/>
    <col min="16" max="16" width="4.109375" customWidth="1"/>
    <col min="17" max="17" width="13.6640625" customWidth="1"/>
    <col min="18" max="18" width="12.33203125" customWidth="1"/>
    <col min="19" max="19" width="2.44140625" customWidth="1"/>
    <col min="20" max="20" width="12.88671875" customWidth="1"/>
    <col min="21" max="21" width="12.6640625" customWidth="1"/>
    <col min="22" max="22" width="2.6640625" customWidth="1"/>
    <col min="23" max="23" width="13" customWidth="1"/>
    <col min="24" max="24" width="12.5546875" customWidth="1"/>
    <col min="25" max="25" width="10.6640625" customWidth="1"/>
  </cols>
  <sheetData>
    <row r="2" spans="1:29" ht="15.6" x14ac:dyDescent="0.3">
      <c r="A2" s="1"/>
      <c r="B2" s="1"/>
      <c r="C2" s="14" t="s">
        <v>45</v>
      </c>
      <c r="Q2" s="17"/>
      <c r="Y2" s="35" t="s">
        <v>66</v>
      </c>
      <c r="Z2" s="35"/>
      <c r="AA2" s="31"/>
      <c r="AB2" s="35" t="s">
        <v>68</v>
      </c>
      <c r="AC2" s="39">
        <f>Beräkning!X3</f>
        <v>6.3287012201353354</v>
      </c>
    </row>
    <row r="3" spans="1:29" x14ac:dyDescent="0.25">
      <c r="Y3" s="35" t="s">
        <v>69</v>
      </c>
      <c r="Z3" s="35"/>
      <c r="AA3" s="31"/>
      <c r="AB3" s="35" t="s">
        <v>67</v>
      </c>
      <c r="AC3" s="40">
        <f>Beräkning!AL3</f>
        <v>4.9724229767773576</v>
      </c>
    </row>
    <row r="4" spans="1:29" ht="13.8" x14ac:dyDescent="0.25">
      <c r="A4" s="15" t="s">
        <v>37</v>
      </c>
      <c r="C4" s="15" t="s">
        <v>6</v>
      </c>
      <c r="H4" s="15" t="s">
        <v>8</v>
      </c>
      <c r="M4" s="15" t="s">
        <v>15</v>
      </c>
      <c r="O4" s="15" t="s">
        <v>20</v>
      </c>
      <c r="Q4" s="15" t="s">
        <v>101</v>
      </c>
      <c r="R4" s="15" t="s">
        <v>33</v>
      </c>
      <c r="T4" s="15" t="s">
        <v>34</v>
      </c>
      <c r="W4" s="15" t="s">
        <v>35</v>
      </c>
      <c r="Y4" s="37" t="s">
        <v>70</v>
      </c>
      <c r="Z4" s="37"/>
      <c r="AA4" s="41">
        <f>'AP-fonderna'!K19</f>
        <v>2000</v>
      </c>
      <c r="AB4" s="31"/>
      <c r="AC4" s="31"/>
    </row>
    <row r="5" spans="1:29" ht="13.8" x14ac:dyDescent="0.25">
      <c r="C5" s="16" t="s">
        <v>3</v>
      </c>
      <c r="D5" s="16" t="s">
        <v>28</v>
      </c>
      <c r="E5" s="16" t="s">
        <v>25</v>
      </c>
      <c r="F5" s="16" t="s">
        <v>7</v>
      </c>
      <c r="G5" s="16"/>
      <c r="H5" s="16" t="s">
        <v>9</v>
      </c>
      <c r="I5" s="16" t="s">
        <v>1</v>
      </c>
      <c r="J5" s="16" t="s">
        <v>25</v>
      </c>
      <c r="K5" s="16" t="s">
        <v>7</v>
      </c>
      <c r="L5" s="16"/>
      <c r="M5" s="16" t="s">
        <v>18</v>
      </c>
      <c r="O5" s="15" t="s">
        <v>21</v>
      </c>
      <c r="Q5" s="15" t="s">
        <v>17</v>
      </c>
      <c r="R5" s="15" t="s">
        <v>16</v>
      </c>
      <c r="T5" s="15" t="s">
        <v>36</v>
      </c>
      <c r="W5" s="15" t="s">
        <v>36</v>
      </c>
      <c r="Y5" s="37" t="s">
        <v>125</v>
      </c>
      <c r="Z5" s="37"/>
      <c r="AA5" s="41">
        <f>'AP-fonderna'!K20</f>
        <v>2020</v>
      </c>
      <c r="AB5" s="31"/>
      <c r="AC5" s="31"/>
    </row>
    <row r="6" spans="1:29" ht="13.8" x14ac:dyDescent="0.25">
      <c r="C6" s="16"/>
      <c r="D6" s="16" t="s">
        <v>29</v>
      </c>
      <c r="E6" s="16" t="s">
        <v>26</v>
      </c>
      <c r="F6" s="16" t="s">
        <v>26</v>
      </c>
      <c r="G6" s="16"/>
      <c r="H6" s="16"/>
      <c r="I6" s="16" t="s">
        <v>0</v>
      </c>
      <c r="J6" s="16" t="s">
        <v>27</v>
      </c>
      <c r="K6" s="16" t="s">
        <v>27</v>
      </c>
      <c r="L6" s="16"/>
      <c r="M6" s="16" t="s">
        <v>19</v>
      </c>
      <c r="Q6" s="15"/>
      <c r="R6" s="15" t="s">
        <v>17</v>
      </c>
      <c r="T6" s="16" t="s">
        <v>96</v>
      </c>
      <c r="U6" s="16" t="s">
        <v>109</v>
      </c>
      <c r="W6" s="16" t="s">
        <v>96</v>
      </c>
      <c r="X6" s="16" t="s">
        <v>109</v>
      </c>
    </row>
    <row r="8" spans="1:29" x14ac:dyDescent="0.25">
      <c r="A8">
        <v>1960</v>
      </c>
      <c r="C8" s="2">
        <f>Beräkning!C9</f>
        <v>468</v>
      </c>
      <c r="D8" s="2">
        <f>Beräkning!D9</f>
        <v>12</v>
      </c>
      <c r="E8" s="2"/>
      <c r="F8" s="2">
        <f>Beräkning!F9</f>
        <v>480</v>
      </c>
      <c r="G8" s="19"/>
      <c r="H8" s="2">
        <f>Beräkning!H9</f>
        <v>0</v>
      </c>
      <c r="I8" s="2">
        <f>Beräkning!I9</f>
        <v>2</v>
      </c>
      <c r="J8" s="2"/>
      <c r="K8" s="2">
        <f>Beräkning!K9</f>
        <v>2</v>
      </c>
      <c r="L8" s="19"/>
      <c r="M8" s="2">
        <f>Beräkning!O9</f>
        <v>478</v>
      </c>
      <c r="N8" s="2"/>
      <c r="O8" s="20">
        <f>Beräkning!Q9</f>
        <v>239</v>
      </c>
      <c r="Q8" s="9">
        <f>Beräkning!S9</f>
        <v>5.1502145922746783</v>
      </c>
      <c r="R8" s="9">
        <f>Beräkning!AJ9</f>
        <v>1.2070815450643702</v>
      </c>
      <c r="S8" s="9"/>
      <c r="T8" s="9">
        <f>Beräkning!X9</f>
        <v>5.1502145922746712</v>
      </c>
      <c r="W8" s="9">
        <f>Beräkning!AM9</f>
        <v>1.2070815450643702</v>
      </c>
    </row>
    <row r="9" spans="1:29" x14ac:dyDescent="0.25">
      <c r="A9">
        <f>+A8+1</f>
        <v>1961</v>
      </c>
      <c r="C9" s="2">
        <f>Beräkning!C10</f>
        <v>699</v>
      </c>
      <c r="D9" s="2">
        <f>Beräkning!D10</f>
        <v>45</v>
      </c>
      <c r="E9" s="2"/>
      <c r="F9" s="2">
        <f>Beräkning!F10</f>
        <v>744</v>
      </c>
      <c r="G9" s="19"/>
      <c r="H9" s="2">
        <f>Beräkning!H10</f>
        <v>0</v>
      </c>
      <c r="I9" s="2">
        <f>Beräkning!I10</f>
        <v>13</v>
      </c>
      <c r="J9" s="2"/>
      <c r="K9" s="2">
        <f>Beräkning!K10</f>
        <v>13</v>
      </c>
      <c r="L9" s="19"/>
      <c r="M9" s="2">
        <f>Beräkning!O10</f>
        <v>1209</v>
      </c>
      <c r="N9" s="2"/>
      <c r="O9" s="20">
        <f>Beräkning!Q10</f>
        <v>93</v>
      </c>
      <c r="Q9" s="9">
        <f>Beräkning!S10</f>
        <v>5.4811205846528628</v>
      </c>
      <c r="R9" s="9">
        <f>Beräkning!AJ10</f>
        <v>2.9084103264906069</v>
      </c>
      <c r="S9" s="9"/>
      <c r="T9" s="9">
        <f>Beräkning!X10</f>
        <v>5.3155376234193197</v>
      </c>
      <c r="W9" s="9">
        <f>Beräkning!AM10</f>
        <v>2.0542006758471398</v>
      </c>
    </row>
    <row r="10" spans="1:29" x14ac:dyDescent="0.25">
      <c r="A10">
        <f t="shared" ref="A10:A33" si="0">+A9+1</f>
        <v>1962</v>
      </c>
      <c r="C10" s="2">
        <f>Beräkning!C11</f>
        <v>1346</v>
      </c>
      <c r="D10" s="2">
        <f>Beräkning!D11</f>
        <v>106</v>
      </c>
      <c r="E10" s="2"/>
      <c r="F10" s="2">
        <f>Beräkning!F11</f>
        <v>1452</v>
      </c>
      <c r="G10" s="19"/>
      <c r="H10" s="2">
        <f>Beräkning!H11</f>
        <v>0</v>
      </c>
      <c r="I10" s="2">
        <f>Beräkning!I11</f>
        <v>18</v>
      </c>
      <c r="J10" s="2"/>
      <c r="K10" s="2">
        <f>Beräkning!K11</f>
        <v>18</v>
      </c>
      <c r="L10" s="19"/>
      <c r="M10" s="2">
        <f>Beräkning!O11</f>
        <v>2643</v>
      </c>
      <c r="N10" s="2"/>
      <c r="O10" s="20">
        <f>Beräkning!Q11</f>
        <v>146.83333333333334</v>
      </c>
      <c r="Q10" s="9">
        <f>Beräkning!S11</f>
        <v>5.6593699946609721</v>
      </c>
      <c r="R10" s="9">
        <f>Beräkning!AJ11</f>
        <v>0.74498069258370769</v>
      </c>
      <c r="S10" s="9"/>
      <c r="T10" s="9">
        <f>Beräkning!X11</f>
        <v>5.4300239131155337</v>
      </c>
      <c r="W10" s="9">
        <f>Beräkning!AM11</f>
        <v>1.6159144268349079</v>
      </c>
    </row>
    <row r="11" spans="1:29" x14ac:dyDescent="0.25">
      <c r="A11">
        <f t="shared" si="0"/>
        <v>1963</v>
      </c>
      <c r="C11" s="2">
        <f>Beräkning!C12</f>
        <v>1891</v>
      </c>
      <c r="D11" s="2">
        <f>Beräkning!D12</f>
        <v>194</v>
      </c>
      <c r="E11" s="2"/>
      <c r="F11" s="2">
        <f>Beräkning!F12</f>
        <v>2085</v>
      </c>
      <c r="G11" s="19"/>
      <c r="H11" s="2">
        <f>Beräkning!H12</f>
        <v>36</v>
      </c>
      <c r="I11" s="2">
        <f>Beräkning!I12</f>
        <v>24</v>
      </c>
      <c r="J11" s="2"/>
      <c r="K11" s="2">
        <f>Beräkning!K12</f>
        <v>60</v>
      </c>
      <c r="L11" s="19"/>
      <c r="M11" s="2">
        <f>Beräkning!O12</f>
        <v>4668</v>
      </c>
      <c r="N11" s="2"/>
      <c r="O11" s="20">
        <f>Beräkning!Q12</f>
        <v>77.8</v>
      </c>
      <c r="Q11" s="9">
        <f>Beräkning!S12</f>
        <v>5.4517352817198255</v>
      </c>
      <c r="R11" s="9">
        <f>Beräkning!AJ12</f>
        <v>1.897182407055098</v>
      </c>
      <c r="S11" s="9"/>
      <c r="T11" s="9">
        <f>Beräkning!X12</f>
        <v>5.4354513361554613</v>
      </c>
      <c r="W11" s="9">
        <f>Beräkning!AM12</f>
        <v>1.6861585517381483</v>
      </c>
    </row>
    <row r="12" spans="1:29" x14ac:dyDescent="0.25">
      <c r="A12">
        <f t="shared" si="0"/>
        <v>1964</v>
      </c>
      <c r="C12" s="2">
        <f>Beräkning!C13</f>
        <v>2442</v>
      </c>
      <c r="D12" s="2">
        <f>Beräkning!D13</f>
        <v>316</v>
      </c>
      <c r="E12" s="2"/>
      <c r="F12" s="2">
        <f>Beräkning!F13</f>
        <v>2758</v>
      </c>
      <c r="G12" s="19"/>
      <c r="H12" s="2">
        <f>Beräkning!H13</f>
        <v>102</v>
      </c>
      <c r="I12" s="2">
        <f>Beräkning!I13</f>
        <v>27</v>
      </c>
      <c r="J12" s="2"/>
      <c r="K12" s="2">
        <f>Beräkning!K13</f>
        <v>129</v>
      </c>
      <c r="L12" s="19"/>
      <c r="M12" s="2">
        <f>Beräkning!O13</f>
        <v>7297</v>
      </c>
      <c r="N12" s="2"/>
      <c r="O12" s="20">
        <f>Beräkning!Q13</f>
        <v>56.565891472868216</v>
      </c>
      <c r="Q12" s="9">
        <f>Beräkning!S13</f>
        <v>5.4253583998626489</v>
      </c>
      <c r="R12" s="9">
        <f>Beräkning!AJ13</f>
        <v>1.9875749737801707</v>
      </c>
      <c r="S12" s="9"/>
      <c r="T12" s="9">
        <f>Beräkning!X13</f>
        <v>5.4334326715997694</v>
      </c>
      <c r="W12" s="9">
        <f>Beräkning!AM13</f>
        <v>1.746370486720572</v>
      </c>
    </row>
    <row r="13" spans="1:29" x14ac:dyDescent="0.25">
      <c r="A13">
        <f t="shared" si="0"/>
        <v>1965</v>
      </c>
      <c r="C13" s="2">
        <f>Beräkning!C14</f>
        <v>2905</v>
      </c>
      <c r="D13" s="2">
        <f>Beräkning!D14</f>
        <v>489</v>
      </c>
      <c r="E13" s="2"/>
      <c r="F13" s="2">
        <f>Beräkning!F14</f>
        <v>3394</v>
      </c>
      <c r="G13" s="19"/>
      <c r="H13" s="2">
        <f>Beräkning!H14</f>
        <v>153</v>
      </c>
      <c r="I13" s="2">
        <f>Beräkning!I14</f>
        <v>37</v>
      </c>
      <c r="J13" s="2"/>
      <c r="K13" s="2">
        <f>Beräkning!K14</f>
        <v>190</v>
      </c>
      <c r="L13" s="19"/>
      <c r="M13" s="2">
        <f>Beräkning!O14</f>
        <v>10501</v>
      </c>
      <c r="N13" s="2"/>
      <c r="O13" s="20">
        <f>Beräkning!Q14</f>
        <v>55.268421052631581</v>
      </c>
      <c r="Q13" s="9">
        <f>Beräkning!S14</f>
        <v>5.6502397596626039</v>
      </c>
      <c r="R13" s="9">
        <f>Beräkning!AJ14</f>
        <v>-0.30951735498501165</v>
      </c>
      <c r="S13" s="9"/>
      <c r="T13" s="9">
        <f>Beräkning!X14</f>
        <v>5.4695362647587453</v>
      </c>
      <c r="W13" s="9">
        <f>Beräkning!AM14</f>
        <v>1.4008015618968805</v>
      </c>
    </row>
    <row r="14" spans="1:29" x14ac:dyDescent="0.25">
      <c r="A14">
        <f t="shared" si="0"/>
        <v>1966</v>
      </c>
      <c r="C14" s="2">
        <f>Beräkning!C15</f>
        <v>3484</v>
      </c>
      <c r="D14" s="2">
        <f>Beräkning!D15</f>
        <v>712</v>
      </c>
      <c r="E14" s="2"/>
      <c r="F14" s="2">
        <f>Beräkning!F15</f>
        <v>4196</v>
      </c>
      <c r="G14" s="19"/>
      <c r="H14" s="2">
        <f>Beräkning!H15</f>
        <v>286</v>
      </c>
      <c r="I14" s="2">
        <f>Beräkning!I15</f>
        <v>49</v>
      </c>
      <c r="J14" s="2"/>
      <c r="K14" s="2">
        <f>Beräkning!K15</f>
        <v>335</v>
      </c>
      <c r="L14" s="19"/>
      <c r="M14" s="2">
        <f>Beräkning!O15</f>
        <v>14362</v>
      </c>
      <c r="N14" s="2"/>
      <c r="O14" s="20">
        <f>Beräkning!Q15</f>
        <v>42.871641791044773</v>
      </c>
      <c r="Q14" s="9">
        <f>Beräkning!S15</f>
        <v>5.8962361806964516</v>
      </c>
      <c r="R14" s="9">
        <f>Beräkning!AJ15</f>
        <v>0.24158279240684699</v>
      </c>
      <c r="S14" s="9"/>
      <c r="T14" s="9">
        <f>Beräkning!X15</f>
        <v>5.5303879672732092</v>
      </c>
      <c r="W14" s="9">
        <f>Beräkning!AM15</f>
        <v>1.2343817293706039</v>
      </c>
    </row>
    <row r="15" spans="1:29" x14ac:dyDescent="0.25">
      <c r="A15">
        <f t="shared" si="0"/>
        <v>1967</v>
      </c>
      <c r="C15" s="2">
        <f>Beräkning!C16</f>
        <v>4161</v>
      </c>
      <c r="D15" s="2">
        <f>Beräkning!D16</f>
        <v>996</v>
      </c>
      <c r="E15" s="2"/>
      <c r="F15" s="2">
        <f>Beräkning!F16</f>
        <v>5157</v>
      </c>
      <c r="G15" s="19"/>
      <c r="H15" s="2">
        <f>Beräkning!H16</f>
        <v>433</v>
      </c>
      <c r="I15" s="2">
        <f>Beräkning!I16</f>
        <v>58</v>
      </c>
      <c r="J15" s="2"/>
      <c r="K15" s="2">
        <f>Beräkning!K16</f>
        <v>491</v>
      </c>
      <c r="L15" s="19"/>
      <c r="M15" s="2">
        <f>Beräkning!O16</f>
        <v>19028</v>
      </c>
      <c r="N15" s="2"/>
      <c r="O15" s="20">
        <f>Beräkning!Q16</f>
        <v>38.753564154786147</v>
      </c>
      <c r="Q15" s="9">
        <f>Beräkning!S16</f>
        <v>6.1492869049824037</v>
      </c>
      <c r="R15" s="9">
        <f>Beräkning!AJ16</f>
        <v>3.1450618038979972</v>
      </c>
      <c r="S15" s="9"/>
      <c r="T15" s="9">
        <f>Beräkning!X16</f>
        <v>5.6075525637991452</v>
      </c>
      <c r="W15" s="9">
        <f>Beräkning!AM16</f>
        <v>1.4712675591760815</v>
      </c>
    </row>
    <row r="16" spans="1:29" x14ac:dyDescent="0.25">
      <c r="A16">
        <f t="shared" si="0"/>
        <v>1968</v>
      </c>
      <c r="C16" s="2">
        <f>Beräkning!C17</f>
        <v>5195</v>
      </c>
      <c r="D16" s="2">
        <f>Beräkning!D17</f>
        <v>1318</v>
      </c>
      <c r="E16" s="2"/>
      <c r="F16" s="2">
        <f>Beräkning!F17</f>
        <v>6513</v>
      </c>
      <c r="G16" s="19"/>
      <c r="H16" s="2">
        <f>Beräkning!H17</f>
        <v>606</v>
      </c>
      <c r="I16" s="2">
        <f>Beräkning!I17</f>
        <v>59</v>
      </c>
      <c r="J16" s="2"/>
      <c r="K16" s="2">
        <f>Beräkning!K17</f>
        <v>665</v>
      </c>
      <c r="L16" s="19"/>
      <c r="M16" s="2">
        <f>Beräkning!O17</f>
        <v>24876</v>
      </c>
      <c r="N16" s="2"/>
      <c r="O16" s="20">
        <f>Beräkning!Q17</f>
        <v>37.407518796992484</v>
      </c>
      <c r="Q16" s="9">
        <f>Beräkning!S17</f>
        <v>6.1898276428873338</v>
      </c>
      <c r="R16" s="9">
        <f>Beräkning!AJ17</f>
        <v>3.7430574207009792</v>
      </c>
      <c r="S16" s="9"/>
      <c r="T16" s="9">
        <f>Beräkning!X17</f>
        <v>5.6720918038923651</v>
      </c>
      <c r="W16" s="9">
        <f>Beräkning!AM17</f>
        <v>1.7212117958023576</v>
      </c>
    </row>
    <row r="17" spans="1:23" x14ac:dyDescent="0.25">
      <c r="A17">
        <f t="shared" si="0"/>
        <v>1969</v>
      </c>
      <c r="C17" s="2">
        <f>Beräkning!C18</f>
        <v>5643</v>
      </c>
      <c r="D17" s="2">
        <f>Beräkning!D18</f>
        <v>1719</v>
      </c>
      <c r="E17" s="2"/>
      <c r="F17" s="2">
        <f>Beräkning!F18</f>
        <v>7362</v>
      </c>
      <c r="G17" s="19"/>
      <c r="H17" s="2">
        <f>Beräkning!H18</f>
        <v>833</v>
      </c>
      <c r="I17" s="2">
        <f>Beräkning!I18</f>
        <v>62</v>
      </c>
      <c r="J17" s="2"/>
      <c r="K17" s="2">
        <f>Beräkning!K18</f>
        <v>895</v>
      </c>
      <c r="L17" s="19"/>
      <c r="M17" s="2">
        <f>Beräkning!O18</f>
        <v>31343</v>
      </c>
      <c r="N17" s="2"/>
      <c r="O17" s="20">
        <f>Beräkning!Q18</f>
        <v>35.020111731843578</v>
      </c>
      <c r="Q17" s="9">
        <f>Beräkning!S18</f>
        <v>6.3082568807339454</v>
      </c>
      <c r="R17" s="9">
        <f>Beräkning!AJ18</f>
        <v>2.528407747196737</v>
      </c>
      <c r="S17" s="9"/>
      <c r="T17" s="9">
        <f>Beräkning!X18</f>
        <v>5.7355366235359417</v>
      </c>
      <c r="W17" s="9">
        <f>Beräkning!AM18</f>
        <v>1.8016445881807286</v>
      </c>
    </row>
    <row r="18" spans="1:23" x14ac:dyDescent="0.25">
      <c r="A18">
        <f t="shared" si="0"/>
        <v>1970</v>
      </c>
      <c r="C18" s="2">
        <f>Beräkning!C19</f>
        <v>6100</v>
      </c>
      <c r="D18" s="2">
        <f>Beräkning!D19</f>
        <v>2215</v>
      </c>
      <c r="E18" s="2"/>
      <c r="F18" s="2">
        <f>Beräkning!F19</f>
        <v>8315</v>
      </c>
      <c r="G18" s="19"/>
      <c r="H18" s="2">
        <f>Beräkning!H19</f>
        <v>1166</v>
      </c>
      <c r="I18" s="2">
        <f>Beräkning!I19</f>
        <v>74</v>
      </c>
      <c r="J18" s="2"/>
      <c r="K18" s="2">
        <f>Beräkning!K19</f>
        <v>1240</v>
      </c>
      <c r="L18" s="19"/>
      <c r="M18" s="2">
        <f>Beräkning!O19</f>
        <v>38418</v>
      </c>
      <c r="N18" s="2"/>
      <c r="O18" s="20">
        <f>Beräkning!Q19</f>
        <v>30.982258064516127</v>
      </c>
      <c r="Q18" s="9">
        <f>Beräkning!S19</f>
        <v>6.5584934711159812</v>
      </c>
      <c r="R18" s="9">
        <f>Beräkning!AJ19</f>
        <v>-1.4928262007432469</v>
      </c>
      <c r="S18" s="9"/>
      <c r="T18" s="9">
        <f>Beräkning!X19</f>
        <v>5.8100875079954983</v>
      </c>
      <c r="W18" s="9">
        <f>Beräkning!AM19</f>
        <v>1.4976487653040493</v>
      </c>
    </row>
    <row r="19" spans="1:23" x14ac:dyDescent="0.25">
      <c r="A19">
        <f t="shared" si="0"/>
        <v>1971</v>
      </c>
      <c r="C19" s="2">
        <f>Beräkning!C20</f>
        <v>7264</v>
      </c>
      <c r="D19" s="2">
        <f>Beräkning!D20</f>
        <v>2765</v>
      </c>
      <c r="E19" s="2"/>
      <c r="F19" s="2">
        <f>Beräkning!F20</f>
        <v>10029</v>
      </c>
      <c r="G19" s="19"/>
      <c r="H19" s="2">
        <f>Beräkning!H20</f>
        <v>1660</v>
      </c>
      <c r="I19" s="2">
        <f>Beräkning!I20</f>
        <v>62</v>
      </c>
      <c r="J19" s="2"/>
      <c r="K19" s="2">
        <f>Beräkning!K20</f>
        <v>1722</v>
      </c>
      <c r="L19" s="19"/>
      <c r="M19" s="2">
        <f>Beräkning!O20</f>
        <v>46725</v>
      </c>
      <c r="N19" s="2"/>
      <c r="O19" s="20">
        <f>Beräkning!Q20</f>
        <v>27.134146341463413</v>
      </c>
      <c r="Q19" s="9">
        <f>Beräkning!S20</f>
        <v>6.7129573429799221</v>
      </c>
      <c r="R19" s="9">
        <f>Beräkning!AJ20</f>
        <v>-0.3687648636009011</v>
      </c>
      <c r="S19" s="9"/>
      <c r="T19" s="9">
        <f>Beräkning!X20</f>
        <v>5.8850340004513946</v>
      </c>
      <c r="W19" s="9">
        <f>Beräkning!AM20</f>
        <v>1.340787814960942</v>
      </c>
    </row>
    <row r="20" spans="1:23" x14ac:dyDescent="0.25">
      <c r="A20">
        <f t="shared" si="0"/>
        <v>1972</v>
      </c>
      <c r="C20" s="2">
        <f>Beräkning!C21</f>
        <v>8489</v>
      </c>
      <c r="D20" s="2">
        <f>Beräkning!D21</f>
        <v>3394</v>
      </c>
      <c r="E20" s="2"/>
      <c r="F20" s="2">
        <f>Beräkning!F21</f>
        <v>11883</v>
      </c>
      <c r="G20" s="19"/>
      <c r="H20" s="2">
        <f>Beräkning!H21</f>
        <v>2211</v>
      </c>
      <c r="I20" s="2">
        <f>Beräkning!I21</f>
        <v>87</v>
      </c>
      <c r="J20" s="2"/>
      <c r="K20" s="2">
        <f>Beräkning!K21</f>
        <v>2298</v>
      </c>
      <c r="L20" s="19"/>
      <c r="M20" s="2">
        <f>Beräkning!O21</f>
        <v>56310</v>
      </c>
      <c r="N20" s="2"/>
      <c r="O20" s="20">
        <f>Beräkning!Q21</f>
        <v>24.503916449086162</v>
      </c>
      <c r="Q20" s="9">
        <f>Beräkning!S21</f>
        <v>6.812456719623448</v>
      </c>
      <c r="R20" s="9">
        <f>Beräkning!AJ21</f>
        <v>0.53050524311732961</v>
      </c>
      <c r="S20" s="9"/>
      <c r="T20" s="9">
        <f>Beräkning!X21</f>
        <v>5.9560874250654816</v>
      </c>
      <c r="W20" s="9">
        <f>Beräkning!AM21</f>
        <v>1.2782271870474649</v>
      </c>
    </row>
    <row r="21" spans="1:23" x14ac:dyDescent="0.25">
      <c r="A21">
        <f t="shared" si="0"/>
        <v>1973</v>
      </c>
      <c r="C21" s="2">
        <f>Beräkning!C22</f>
        <v>8989</v>
      </c>
      <c r="D21" s="2">
        <f>Beräkning!D22</f>
        <v>4075</v>
      </c>
      <c r="E21" s="2"/>
      <c r="F21" s="2">
        <f>Beräkning!F22</f>
        <v>13064</v>
      </c>
      <c r="G21" s="19"/>
      <c r="H21" s="2">
        <f>Beräkning!H22</f>
        <v>2944</v>
      </c>
      <c r="I21" s="2">
        <f>Beräkning!I22</f>
        <v>94</v>
      </c>
      <c r="J21" s="2"/>
      <c r="K21" s="2">
        <f>Beräkning!K22</f>
        <v>3038</v>
      </c>
      <c r="L21" s="19"/>
      <c r="M21" s="2">
        <f>Beräkning!O22</f>
        <v>66336</v>
      </c>
      <c r="N21" s="2"/>
      <c r="O21" s="20">
        <f>Beräkning!Q22</f>
        <v>21.835418038183015</v>
      </c>
      <c r="Q21" s="9">
        <f>Beräkning!S22</f>
        <v>6.8735188199475425</v>
      </c>
      <c r="R21" s="9">
        <f>Beräkning!AJ22</f>
        <v>-0.59829669996955825</v>
      </c>
      <c r="S21" s="9"/>
      <c r="T21" s="9">
        <f>Beräkning!X22</f>
        <v>6.0213562580237356</v>
      </c>
      <c r="W21" s="9">
        <f>Beräkning!AM22</f>
        <v>1.1430227900143919</v>
      </c>
    </row>
    <row r="22" spans="1:23" x14ac:dyDescent="0.25">
      <c r="A22">
        <f t="shared" si="0"/>
        <v>1974</v>
      </c>
      <c r="C22" s="2">
        <f>Beräkning!C23</f>
        <v>9765</v>
      </c>
      <c r="D22" s="2">
        <f>Beräkning!D23</f>
        <v>4855</v>
      </c>
      <c r="E22" s="2"/>
      <c r="F22" s="2">
        <f>Beräkning!F23</f>
        <v>14620</v>
      </c>
      <c r="G22" s="19"/>
      <c r="H22" s="2">
        <f>Beräkning!H23</f>
        <v>3881</v>
      </c>
      <c r="I22" s="2">
        <f>Beräkning!I23</f>
        <v>111</v>
      </c>
      <c r="J22" s="2"/>
      <c r="K22" s="2">
        <f>Beräkning!K23</f>
        <v>3992</v>
      </c>
      <c r="L22" s="19"/>
      <c r="M22" s="2">
        <f>Beräkning!O23</f>
        <v>76963</v>
      </c>
      <c r="N22" s="2"/>
      <c r="O22" s="20">
        <f>Beräkning!Q23</f>
        <v>19.27930861723447</v>
      </c>
      <c r="Q22" s="9">
        <f>Beräkning!S23</f>
        <v>7.0136155151865358</v>
      </c>
      <c r="R22" s="9">
        <f>Beräkning!AJ23</f>
        <v>-4.0909633428958925</v>
      </c>
      <c r="S22" s="9"/>
      <c r="T22" s="9">
        <f>Beräkning!X23</f>
        <v>6.0872196892706398</v>
      </c>
      <c r="W22" s="9">
        <f>Beräkning!AM23</f>
        <v>0.78537179875459717</v>
      </c>
    </row>
    <row r="23" spans="1:23" x14ac:dyDescent="0.25">
      <c r="A23">
        <f t="shared" si="0"/>
        <v>1975</v>
      </c>
      <c r="C23" s="2">
        <f>Beräkning!C24</f>
        <v>10946</v>
      </c>
      <c r="D23" s="2">
        <f>Beräkning!D24</f>
        <v>5789</v>
      </c>
      <c r="E23" s="2"/>
      <c r="F23" s="2">
        <f>Beräkning!F24</f>
        <v>16735</v>
      </c>
      <c r="G23" s="19"/>
      <c r="H23" s="2">
        <f>Beräkning!H24</f>
        <v>4998</v>
      </c>
      <c r="I23" s="2">
        <f>Beräkning!I24</f>
        <v>131</v>
      </c>
      <c r="J23" s="2"/>
      <c r="K23" s="2">
        <f>Beräkning!K24</f>
        <v>5129</v>
      </c>
      <c r="L23" s="19"/>
      <c r="M23" s="2">
        <f>Beräkning!O24</f>
        <v>88569</v>
      </c>
      <c r="N23" s="2"/>
      <c r="O23" s="20">
        <f>Beräkning!Q24</f>
        <v>17.268278416845391</v>
      </c>
      <c r="Q23" s="9">
        <f>Beräkning!S24</f>
        <v>7.2478919264067905</v>
      </c>
      <c r="R23" s="9">
        <f>Beräkning!AJ24</f>
        <v>-1.4999598404974113</v>
      </c>
      <c r="S23" s="9"/>
      <c r="T23" s="9">
        <f>Beräkning!X24</f>
        <v>6.1593922823334868</v>
      </c>
      <c r="W23" s="9">
        <f>Beräkning!AM24</f>
        <v>0.64099778504149718</v>
      </c>
    </row>
    <row r="24" spans="1:23" x14ac:dyDescent="0.25">
      <c r="A24">
        <f t="shared" si="0"/>
        <v>1976</v>
      </c>
      <c r="C24" s="2">
        <f>Beräkning!C25</f>
        <v>14097</v>
      </c>
      <c r="D24" s="2">
        <f>Beräkning!D25</f>
        <v>6930</v>
      </c>
      <c r="E24" s="2"/>
      <c r="F24" s="2">
        <f>Beräkning!F25</f>
        <v>21027</v>
      </c>
      <c r="G24" s="19"/>
      <c r="H24" s="2">
        <f>Beräkning!H25</f>
        <v>6913</v>
      </c>
      <c r="I24" s="2">
        <f>Beräkning!I25</f>
        <v>160</v>
      </c>
      <c r="J24" s="2"/>
      <c r="K24" s="2">
        <f>Beräkning!K25</f>
        <v>7073</v>
      </c>
      <c r="L24" s="19"/>
      <c r="M24" s="2">
        <f>Beräkning!O25</f>
        <v>102523</v>
      </c>
      <c r="N24" s="2"/>
      <c r="O24" s="20">
        <f>Beräkning!Q25</f>
        <v>14.494980913332391</v>
      </c>
      <c r="Q24" s="9">
        <f>Beräkning!S25</f>
        <v>7.5259825588340696</v>
      </c>
      <c r="R24" s="9">
        <f>Beräkning!AJ25</f>
        <v>-1.8918964239872271</v>
      </c>
      <c r="S24" s="9"/>
      <c r="T24" s="9">
        <f>Beräkning!X25</f>
        <v>6.2392969848280355</v>
      </c>
      <c r="W24" s="9">
        <f>Beräkning!AM25</f>
        <v>0.490210108287914</v>
      </c>
    </row>
    <row r="25" spans="1:23" x14ac:dyDescent="0.25">
      <c r="A25">
        <f t="shared" si="0"/>
        <v>1977</v>
      </c>
      <c r="C25" s="2">
        <f>Beräkning!C26</f>
        <v>16425</v>
      </c>
      <c r="D25" s="2">
        <f>Beräkning!D26</f>
        <v>8346</v>
      </c>
      <c r="E25" s="2"/>
      <c r="F25" s="2">
        <f>Beräkning!F26</f>
        <v>24771</v>
      </c>
      <c r="G25" s="19"/>
      <c r="H25" s="2">
        <f>Beräkning!H26</f>
        <v>9688</v>
      </c>
      <c r="I25" s="2">
        <f>Beräkning!I26</f>
        <v>196</v>
      </c>
      <c r="J25" s="2"/>
      <c r="K25" s="2">
        <f>Beräkning!K26</f>
        <v>9884</v>
      </c>
      <c r="L25" s="19"/>
      <c r="M25" s="2">
        <f>Beräkning!O26</f>
        <v>117410</v>
      </c>
      <c r="N25" s="2"/>
      <c r="O25" s="20">
        <f>Beräkning!Q26</f>
        <v>11.878794010522055</v>
      </c>
      <c r="Q25" s="9">
        <f>Beräkning!S26</f>
        <v>7.8889534801287411</v>
      </c>
      <c r="R25" s="9">
        <f>Beräkning!AJ26</f>
        <v>-4.2693165191088234</v>
      </c>
      <c r="S25" s="9"/>
      <c r="T25" s="9">
        <f>Beräkning!X26</f>
        <v>6.3302792447726741</v>
      </c>
      <c r="W25" s="9">
        <f>Beräkning!AM26</f>
        <v>0.21968988793570343</v>
      </c>
    </row>
    <row r="26" spans="1:23" x14ac:dyDescent="0.25">
      <c r="A26">
        <f t="shared" si="0"/>
        <v>1978</v>
      </c>
      <c r="C26" s="2">
        <f>Beräkning!C27</f>
        <v>18241</v>
      </c>
      <c r="D26" s="2">
        <f>Beräkning!D27</f>
        <v>9717</v>
      </c>
      <c r="E26" s="2"/>
      <c r="F26" s="2">
        <f>Beräkning!F27</f>
        <v>27958</v>
      </c>
      <c r="G26" s="19"/>
      <c r="H26" s="2">
        <f>Beräkning!H27</f>
        <v>12337</v>
      </c>
      <c r="I26" s="2">
        <f>Beräkning!I27</f>
        <v>225</v>
      </c>
      <c r="J26" s="2"/>
      <c r="K26" s="2">
        <f>Beräkning!K27</f>
        <v>12562</v>
      </c>
      <c r="L26" s="19"/>
      <c r="M26" s="2">
        <f>Beräkning!O27</f>
        <v>132807</v>
      </c>
      <c r="N26" s="2"/>
      <c r="O26" s="20">
        <f>Beräkning!Q27</f>
        <v>10.572122273523325</v>
      </c>
      <c r="Q26" s="9">
        <f>Beräkning!S27</f>
        <v>8.0806988802448245</v>
      </c>
      <c r="R26" s="9">
        <f>Beräkning!AJ27</f>
        <v>0.66087848694054152</v>
      </c>
      <c r="S26" s="9"/>
      <c r="T26" s="9">
        <f>Beräkning!X27</f>
        <v>6.42169578477223</v>
      </c>
      <c r="W26" s="9">
        <f>Beräkning!AM27</f>
        <v>0.24286205776118397</v>
      </c>
    </row>
    <row r="27" spans="1:23" x14ac:dyDescent="0.25">
      <c r="A27">
        <f t="shared" si="0"/>
        <v>1979</v>
      </c>
      <c r="C27" s="2">
        <f>Beräkning!C28</f>
        <v>19347</v>
      </c>
      <c r="D27" s="2">
        <f>Beräkning!D28</f>
        <v>11467</v>
      </c>
      <c r="E27" s="2"/>
      <c r="F27" s="2">
        <f>Beräkning!F28</f>
        <v>30814</v>
      </c>
      <c r="G27" s="19"/>
      <c r="H27" s="2">
        <f>Beräkning!H28</f>
        <v>15072</v>
      </c>
      <c r="I27" s="2">
        <f>Beräkning!I28</f>
        <v>236</v>
      </c>
      <c r="J27" s="2"/>
      <c r="K27" s="2">
        <f>Beräkning!K28</f>
        <v>15308</v>
      </c>
      <c r="L27" s="19"/>
      <c r="M27" s="2">
        <f>Beräkning!O28</f>
        <v>148312</v>
      </c>
      <c r="N27" s="2"/>
      <c r="O27" s="20">
        <f>Beräkning!Q28</f>
        <v>9.6885288737914816</v>
      </c>
      <c r="Q27" s="9">
        <f>Beräkning!S28</f>
        <v>8.5050045799601701</v>
      </c>
      <c r="R27" s="9">
        <f>Beräkning!AJ28</f>
        <v>-1.1414414067361212</v>
      </c>
      <c r="S27" s="9"/>
      <c r="T27" s="9">
        <f>Beräkning!X28</f>
        <v>6.5249047823594086</v>
      </c>
      <c r="W27" s="9">
        <f>Beräkning!AM28</f>
        <v>0.17318874954903585</v>
      </c>
    </row>
    <row r="28" spans="1:23" x14ac:dyDescent="0.25">
      <c r="A28">
        <f t="shared" si="0"/>
        <v>1980</v>
      </c>
      <c r="C28" s="2">
        <f>Beräkning!C29</f>
        <v>22192</v>
      </c>
      <c r="D28" s="2">
        <f>Beräkning!D29</f>
        <v>13767</v>
      </c>
      <c r="E28" s="2"/>
      <c r="F28" s="2">
        <f>Beräkning!F29</f>
        <v>35959</v>
      </c>
      <c r="G28" s="19"/>
      <c r="H28" s="2">
        <f>Beräkning!H29</f>
        <v>19029</v>
      </c>
      <c r="I28" s="2">
        <f>Beräkning!I29</f>
        <v>248</v>
      </c>
      <c r="J28" s="2"/>
      <c r="K28" s="2">
        <f>Beräkning!K29</f>
        <v>19277</v>
      </c>
      <c r="L28" s="19"/>
      <c r="M28" s="2">
        <f>Beräkning!O29</f>
        <v>164994</v>
      </c>
      <c r="N28" s="2"/>
      <c r="O28" s="20">
        <f>Beräkning!Q29</f>
        <v>8.5591118950044098</v>
      </c>
      <c r="Q28" s="9">
        <f>Beräkning!S29</f>
        <v>9.1921252324405156</v>
      </c>
      <c r="R28" s="9">
        <f>Beräkning!AJ29</f>
        <v>-4.3210860996098717</v>
      </c>
      <c r="S28" s="9"/>
      <c r="T28" s="9">
        <f>Beräkning!X29</f>
        <v>6.6504251526972702</v>
      </c>
      <c r="W28" s="9">
        <f>Beräkning!AM29</f>
        <v>-4.5534663502921902E-2</v>
      </c>
    </row>
    <row r="29" spans="1:23" x14ac:dyDescent="0.25">
      <c r="A29">
        <f t="shared" si="0"/>
        <v>1981</v>
      </c>
      <c r="C29" s="2">
        <f>Beräkning!C30</f>
        <v>25795</v>
      </c>
      <c r="D29" s="2">
        <f>Beräkning!D30</f>
        <v>16499</v>
      </c>
      <c r="E29" s="2"/>
      <c r="F29" s="2">
        <f>Beräkning!F30</f>
        <v>42294</v>
      </c>
      <c r="G29" s="19"/>
      <c r="H29" s="2">
        <f>Beräkning!H30</f>
        <v>23537</v>
      </c>
      <c r="I29" s="2">
        <f>Beräkning!I30</f>
        <v>259</v>
      </c>
      <c r="J29" s="2"/>
      <c r="K29" s="2">
        <f>Beräkning!K30</f>
        <v>23796</v>
      </c>
      <c r="L29" s="19"/>
      <c r="M29" s="2">
        <f>Beräkning!O30</f>
        <v>183492</v>
      </c>
      <c r="N29" s="2"/>
      <c r="O29" s="20">
        <f>Beräkning!Q30</f>
        <v>7.7110438729198183</v>
      </c>
      <c r="Q29" s="9">
        <f>Beräkning!S30</f>
        <v>9.9395458255895566</v>
      </c>
      <c r="R29" s="9">
        <f>Beräkning!AJ30</f>
        <v>0.74690609595924329</v>
      </c>
      <c r="S29" s="9"/>
      <c r="T29" s="9">
        <f>Beräkning!X30</f>
        <v>6.7977732716306249</v>
      </c>
      <c r="W29" s="9">
        <f>Beräkning!AM30</f>
        <v>-9.6502226559325166E-3</v>
      </c>
    </row>
    <row r="30" spans="1:23" x14ac:dyDescent="0.25">
      <c r="A30">
        <f t="shared" si="0"/>
        <v>1982</v>
      </c>
      <c r="C30" s="2">
        <f>Beräkning!C31</f>
        <v>27150</v>
      </c>
      <c r="D30" s="2">
        <f>Beräkning!D31</f>
        <v>19234</v>
      </c>
      <c r="E30" s="2"/>
      <c r="F30" s="2">
        <f>Beräkning!F31</f>
        <v>46384</v>
      </c>
      <c r="G30" s="19"/>
      <c r="H30" s="2">
        <f>Beräkning!H31</f>
        <v>27013</v>
      </c>
      <c r="I30" s="2">
        <f>Beräkning!I31</f>
        <v>207</v>
      </c>
      <c r="J30" s="2"/>
      <c r="K30" s="2">
        <f>Beräkning!K31</f>
        <v>27220</v>
      </c>
      <c r="L30" s="19"/>
      <c r="M30" s="2">
        <f>Beräkning!O31</f>
        <v>202656</v>
      </c>
      <c r="N30" s="2"/>
      <c r="O30" s="20">
        <f>Beräkning!Q31</f>
        <v>7.4451138868479063</v>
      </c>
      <c r="Q30" s="9">
        <f>Beräkning!S31</f>
        <v>10.484200657374751</v>
      </c>
      <c r="R30" s="9">
        <f>Beräkning!AJ31</f>
        <v>0.76085356760871026</v>
      </c>
      <c r="S30" s="9"/>
      <c r="T30" s="9">
        <f>Beräkning!X31</f>
        <v>6.9554648313928213</v>
      </c>
      <c r="W30" s="9">
        <f>Beräkning!AM31</f>
        <v>2.3727098449577433E-2</v>
      </c>
    </row>
    <row r="31" spans="1:23" x14ac:dyDescent="0.25">
      <c r="A31">
        <f t="shared" si="0"/>
        <v>1983</v>
      </c>
      <c r="C31" s="2">
        <f>Beräkning!C32</f>
        <v>29574</v>
      </c>
      <c r="D31" s="2">
        <f>Beräkning!D32</f>
        <v>22908</v>
      </c>
      <c r="E31" s="2">
        <f>Beräkning!E32</f>
        <v>398</v>
      </c>
      <c r="F31" s="2">
        <f>Beräkning!F32</f>
        <v>52880</v>
      </c>
      <c r="G31" s="19"/>
      <c r="H31" s="2">
        <f>Beräkning!H32</f>
        <v>32467</v>
      </c>
      <c r="I31" s="2">
        <f>Beräkning!I32</f>
        <v>283</v>
      </c>
      <c r="J31" s="2"/>
      <c r="K31" s="2">
        <f>Beräkning!K32</f>
        <v>32750</v>
      </c>
      <c r="L31" s="19"/>
      <c r="M31" s="2">
        <f>Beräkning!O32</f>
        <v>222786</v>
      </c>
      <c r="N31" s="2"/>
      <c r="O31" s="20">
        <f>Beräkning!Q32</f>
        <v>6.802625954198473</v>
      </c>
      <c r="Q31" s="9">
        <f>Beräkning!S32</f>
        <v>11.381895690798789</v>
      </c>
      <c r="R31" s="9">
        <f>Beräkning!AJ32</f>
        <v>1.9954623958351014</v>
      </c>
      <c r="S31" s="9"/>
      <c r="T31" s="9">
        <f>Beräkning!X32</f>
        <v>7.1363378694665025</v>
      </c>
      <c r="W31" s="9">
        <f>Beräkning!AM32</f>
        <v>0.10511656425644667</v>
      </c>
    </row>
    <row r="32" spans="1:23" x14ac:dyDescent="0.25">
      <c r="A32">
        <f t="shared" si="0"/>
        <v>1984</v>
      </c>
      <c r="C32" s="2">
        <f>Beräkning!C33</f>
        <v>33283</v>
      </c>
      <c r="D32" s="2">
        <f>Beräkning!D33</f>
        <v>25243</v>
      </c>
      <c r="E32" s="2">
        <f>Beräkning!E33</f>
        <v>625</v>
      </c>
      <c r="F32" s="2">
        <f>Beräkning!F33</f>
        <v>59151</v>
      </c>
      <c r="G32" s="19"/>
      <c r="H32" s="2">
        <f>Beräkning!H33</f>
        <v>36172</v>
      </c>
      <c r="I32" s="2">
        <f>Beräkning!I33</f>
        <v>309</v>
      </c>
      <c r="J32" s="2">
        <f>Beräkning!J33</f>
        <v>100</v>
      </c>
      <c r="K32" s="2">
        <f>Beräkning!K33</f>
        <v>36581</v>
      </c>
      <c r="L32" s="19"/>
      <c r="M32" s="2">
        <f>Beräkning!O33</f>
        <v>245356</v>
      </c>
      <c r="N32" s="2"/>
      <c r="O32" s="20">
        <f>Beräkning!Q33</f>
        <v>6.7255831802856285</v>
      </c>
      <c r="Q32" s="9">
        <f>Beräkning!S33</f>
        <v>11.398987127990805</v>
      </c>
      <c r="R32" s="9">
        <f>Beräkning!AJ33</f>
        <v>2.9963206703366385</v>
      </c>
      <c r="S32" s="9"/>
      <c r="T32" s="9">
        <f>Beräkning!X33</f>
        <v>7.3036697745120893</v>
      </c>
      <c r="W32" s="9">
        <f>Beräkning!AM33</f>
        <v>0.21919109431018935</v>
      </c>
    </row>
    <row r="33" spans="1:23" x14ac:dyDescent="0.25">
      <c r="A33">
        <f t="shared" si="0"/>
        <v>1985</v>
      </c>
      <c r="C33" s="2">
        <f>Beräkning!C34</f>
        <v>35172</v>
      </c>
      <c r="D33" s="2">
        <f>Beräkning!D34</f>
        <v>27998</v>
      </c>
      <c r="E33" s="2">
        <f>Beräkning!E34</f>
        <v>537</v>
      </c>
      <c r="F33" s="2">
        <f>Beräkning!F34</f>
        <v>63707</v>
      </c>
      <c r="G33" s="19"/>
      <c r="H33" s="2">
        <f>Beräkning!H34</f>
        <v>42116</v>
      </c>
      <c r="I33" s="2">
        <f>Beräkning!I34</f>
        <v>336</v>
      </c>
      <c r="J33" s="2"/>
      <c r="K33" s="2">
        <f>Beräkning!K34</f>
        <v>42452</v>
      </c>
      <c r="L33" s="19"/>
      <c r="M33" s="2">
        <f>Beräkning!O34</f>
        <v>266611</v>
      </c>
      <c r="N33" s="2"/>
      <c r="O33" s="20">
        <f>Beräkning!Q34</f>
        <v>6.2802930368416092</v>
      </c>
      <c r="Q33" s="9">
        <f>Beräkning!S34</f>
        <v>11.570162551733686</v>
      </c>
      <c r="R33" s="9">
        <f>Beräkning!AJ34</f>
        <v>5.6266654758807766</v>
      </c>
      <c r="S33" s="9"/>
      <c r="T33" s="9">
        <f>Beräkning!X34</f>
        <v>7.4647080443941416</v>
      </c>
      <c r="W33" s="9">
        <f>Beräkning!AM34</f>
        <v>0.42195879839810324</v>
      </c>
    </row>
    <row r="34" spans="1:23" x14ac:dyDescent="0.25">
      <c r="A34">
        <f>+A33+1</f>
        <v>1986</v>
      </c>
      <c r="C34" s="2">
        <f>Beräkning!C35</f>
        <v>40193</v>
      </c>
      <c r="D34" s="2">
        <f>Beräkning!D35</f>
        <v>32926</v>
      </c>
      <c r="E34" s="2">
        <f>Beräkning!E35</f>
        <v>1903</v>
      </c>
      <c r="F34" s="2">
        <f>Beräkning!F35</f>
        <v>75022</v>
      </c>
      <c r="G34" s="19"/>
      <c r="H34" s="2">
        <f>Beräkning!H35</f>
        <v>48418</v>
      </c>
      <c r="I34" s="2">
        <f>Beräkning!I35</f>
        <v>375</v>
      </c>
      <c r="J34" s="2"/>
      <c r="K34" s="2">
        <f>Beräkning!K35</f>
        <v>48793</v>
      </c>
      <c r="L34" s="19"/>
      <c r="M34" s="2">
        <f>Beräkning!O35</f>
        <v>292840</v>
      </c>
      <c r="N34" s="2"/>
      <c r="O34" s="20">
        <f>Beräkning!Q35</f>
        <v>6.0016805689340682</v>
      </c>
      <c r="Q34" s="9">
        <f>Beräkning!S35</f>
        <v>12.506908503869713</v>
      </c>
      <c r="R34" s="9">
        <f>Beräkning!AJ35</f>
        <v>8.9161149977079912</v>
      </c>
      <c r="S34" s="9"/>
      <c r="T34" s="9">
        <f>Beräkning!X35</f>
        <v>7.6473625767295328</v>
      </c>
      <c r="W34" s="9">
        <f>Beräkning!AM35</f>
        <v>0.72441231992625976</v>
      </c>
    </row>
    <row r="35" spans="1:23" x14ac:dyDescent="0.25">
      <c r="A35">
        <f t="shared" ref="A35:A50" si="1">+A34+1</f>
        <v>1987</v>
      </c>
      <c r="C35" s="2">
        <f>Beräkning!C36</f>
        <v>45030</v>
      </c>
      <c r="D35" s="2">
        <f>Beräkning!D36</f>
        <v>31901</v>
      </c>
      <c r="E35" s="2">
        <f>Beräkning!E36</f>
        <v>3457</v>
      </c>
      <c r="F35" s="2">
        <f>Beräkning!F36</f>
        <v>80388</v>
      </c>
      <c r="G35" s="19"/>
      <c r="H35" s="2">
        <f>Beräkning!H36</f>
        <v>53801</v>
      </c>
      <c r="I35" s="2">
        <f>Beräkning!I36</f>
        <v>399</v>
      </c>
      <c r="J35" s="2">
        <f>Beräkning!J36</f>
        <v>100</v>
      </c>
      <c r="K35" s="2">
        <f>Beräkning!K36</f>
        <v>54300</v>
      </c>
      <c r="L35" s="19"/>
      <c r="M35" s="2">
        <f>Beräkning!O36</f>
        <v>318928</v>
      </c>
      <c r="N35" s="2"/>
      <c r="O35" s="20">
        <f>Beräkning!Q36</f>
        <v>5.8842804428044282</v>
      </c>
      <c r="Q35" s="9">
        <f>Beräkning!S36</f>
        <v>11.002867899018224</v>
      </c>
      <c r="R35" s="9">
        <f>Beräkning!AJ36</f>
        <v>5.5405123609294948</v>
      </c>
      <c r="S35" s="9"/>
      <c r="T35" s="9">
        <f>Beräkning!X36</f>
        <v>7.7654369149392943</v>
      </c>
      <c r="W35" s="9">
        <f>Beräkning!AM36</f>
        <v>0.89257051527440456</v>
      </c>
    </row>
    <row r="36" spans="1:23" x14ac:dyDescent="0.25">
      <c r="A36">
        <f t="shared" si="1"/>
        <v>1988</v>
      </c>
      <c r="C36" s="2">
        <f>Beräkning!C37</f>
        <v>50008</v>
      </c>
      <c r="D36" s="2">
        <f>Beräkning!D37</f>
        <v>51222</v>
      </c>
      <c r="E36" s="2">
        <f>Beräkning!E37</f>
        <v>4409</v>
      </c>
      <c r="F36" s="2">
        <f>Beräkning!F37</f>
        <v>105639</v>
      </c>
      <c r="G36" s="19"/>
      <c r="H36" s="2">
        <f>Beräkning!H37</f>
        <v>60558</v>
      </c>
      <c r="I36" s="2">
        <f>Beräkning!I37</f>
        <v>512</v>
      </c>
      <c r="J36" s="2"/>
      <c r="K36" s="2">
        <f>Beräkning!K37</f>
        <v>61070</v>
      </c>
      <c r="L36" s="19"/>
      <c r="M36" s="2">
        <f>Beräkning!O37</f>
        <v>363497</v>
      </c>
      <c r="N36" s="2"/>
      <c r="O36" s="20">
        <f>Beräkning!Q37</f>
        <v>5.9521368920910431</v>
      </c>
      <c r="Q36" s="9">
        <f>Beräkning!S37</f>
        <v>16.229960884216329</v>
      </c>
      <c r="R36" s="9">
        <f>Beräkning!AJ37</f>
        <v>9.6763644164495677</v>
      </c>
      <c r="S36" s="9"/>
      <c r="T36" s="9">
        <f>Beräkning!X37</f>
        <v>8.0467876750546008</v>
      </c>
      <c r="W36" s="9">
        <f>Beräkning!AM37</f>
        <v>1.1834119874123639</v>
      </c>
    </row>
    <row r="37" spans="1:23" x14ac:dyDescent="0.25">
      <c r="A37">
        <f t="shared" si="1"/>
        <v>1989</v>
      </c>
      <c r="C37" s="2">
        <f>Beräkning!C38</f>
        <v>59864</v>
      </c>
      <c r="D37" s="2">
        <f>Beräkning!D38</f>
        <v>28303</v>
      </c>
      <c r="E37" s="2">
        <f>Beräkning!E38</f>
        <v>5334</v>
      </c>
      <c r="F37" s="2">
        <f>Beräkning!F38</f>
        <v>93501</v>
      </c>
      <c r="G37" s="19"/>
      <c r="H37" s="2">
        <f>Beräkning!H38</f>
        <v>69178</v>
      </c>
      <c r="I37" s="2">
        <f>Beräkning!I38</f>
        <v>540</v>
      </c>
      <c r="J37" s="2"/>
      <c r="K37" s="2">
        <f>Beräkning!K38</f>
        <v>69718</v>
      </c>
      <c r="L37" s="19"/>
      <c r="M37" s="2">
        <f>Beräkning!O38</f>
        <v>387280</v>
      </c>
      <c r="N37" s="2"/>
      <c r="O37" s="20">
        <f>Beräkning!Q38</f>
        <v>5.5549499411916576</v>
      </c>
      <c r="Q37" s="9">
        <f>Beräkning!S38</f>
        <v>7.8350224367935732</v>
      </c>
      <c r="R37" s="9">
        <f>Beräkning!AJ38</f>
        <v>1.1792300768462383</v>
      </c>
      <c r="S37" s="9"/>
      <c r="T37" s="9">
        <f>Beräkning!X38</f>
        <v>8.0397221383036168</v>
      </c>
      <c r="W37" s="9">
        <f>Beräkning!AM38</f>
        <v>1.1832725876087968</v>
      </c>
    </row>
    <row r="38" spans="1:23" x14ac:dyDescent="0.25">
      <c r="A38">
        <f t="shared" si="1"/>
        <v>1990</v>
      </c>
      <c r="C38" s="2">
        <f>Beräkning!C39</f>
        <v>78927</v>
      </c>
      <c r="D38" s="2">
        <f>Beräkning!D39</f>
        <v>34024</v>
      </c>
      <c r="E38" s="2">
        <f>Beräkning!E39</f>
        <v>3874</v>
      </c>
      <c r="F38" s="2">
        <f>Beräkning!F39</f>
        <v>116825</v>
      </c>
      <c r="G38" s="19"/>
      <c r="H38" s="2">
        <f>Beräkning!H39</f>
        <v>77406</v>
      </c>
      <c r="I38" s="2">
        <f>Beräkning!I39</f>
        <v>582</v>
      </c>
      <c r="J38" s="2"/>
      <c r="K38" s="2">
        <f>Beräkning!K39</f>
        <v>77988</v>
      </c>
      <c r="L38" s="19"/>
      <c r="M38" s="2">
        <f>Beräkning!O39</f>
        <v>426117</v>
      </c>
      <c r="N38" s="2"/>
      <c r="O38" s="20">
        <f>Beräkning!Q39</f>
        <v>5.4638790583166639</v>
      </c>
      <c r="Q38" s="9">
        <f>Beräkning!S39</f>
        <v>8.731121042171079</v>
      </c>
      <c r="R38" s="9">
        <f>Beräkning!AJ39</f>
        <v>-1.9945762649341559</v>
      </c>
      <c r="S38" s="9"/>
      <c r="T38" s="9">
        <f>Beräkning!X39</f>
        <v>8.0619565548529337</v>
      </c>
      <c r="W38" s="9">
        <f>Beräkning!AM39</f>
        <v>1.079170625397019</v>
      </c>
    </row>
    <row r="39" spans="1:23" x14ac:dyDescent="0.25">
      <c r="A39">
        <f t="shared" si="1"/>
        <v>1991</v>
      </c>
      <c r="C39" s="2">
        <f>Beräkning!C40</f>
        <v>83145</v>
      </c>
      <c r="D39" s="2">
        <f>Beräkning!D40</f>
        <v>62050</v>
      </c>
      <c r="E39" s="2">
        <f>Beräkning!E40</f>
        <v>3340</v>
      </c>
      <c r="F39" s="2">
        <f>Beräkning!F40</f>
        <v>148535</v>
      </c>
      <c r="G39" s="19"/>
      <c r="H39" s="2">
        <f>Beräkning!H40</f>
        <v>87861</v>
      </c>
      <c r="I39" s="2">
        <f>Beräkning!I40</f>
        <v>702</v>
      </c>
      <c r="J39" s="2">
        <f>Beräkning!J40</f>
        <v>400</v>
      </c>
      <c r="K39" s="2">
        <f>Beräkning!K40</f>
        <v>88963</v>
      </c>
      <c r="L39" s="19"/>
      <c r="M39" s="2">
        <f>Beräkning!O40</f>
        <v>485689</v>
      </c>
      <c r="N39" s="2"/>
      <c r="O39" s="20">
        <f>Beräkning!Q40</f>
        <v>5.4841073586034801</v>
      </c>
      <c r="Q39" s="9">
        <f>Beräkning!S40</f>
        <v>14.604192262249398</v>
      </c>
      <c r="R39" s="9">
        <f>Beräkning!AJ40</f>
        <v>6.2124641459928354</v>
      </c>
      <c r="S39" s="9"/>
      <c r="T39" s="9">
        <f>Beräkning!X40</f>
        <v>8.2606340982525275</v>
      </c>
      <c r="W39" s="9">
        <f>Beräkning!AM40</f>
        <v>1.2357667477986167</v>
      </c>
    </row>
    <row r="40" spans="1:23" x14ac:dyDescent="0.25">
      <c r="A40">
        <f t="shared" si="1"/>
        <v>1992</v>
      </c>
      <c r="C40" s="2">
        <f>Beräkning!C41</f>
        <v>83796</v>
      </c>
      <c r="D40" s="2">
        <f>Beräkning!D41</f>
        <v>58781</v>
      </c>
      <c r="E40" s="2">
        <f>Beräkning!E41</f>
        <v>1641</v>
      </c>
      <c r="F40" s="2">
        <f>Beräkning!F41</f>
        <v>144218</v>
      </c>
      <c r="G40" s="19"/>
      <c r="H40" s="2">
        <f>Beräkning!H41</f>
        <v>96381</v>
      </c>
      <c r="I40" s="2">
        <f>Beräkning!I41</f>
        <v>666</v>
      </c>
      <c r="J40" s="2">
        <f>Beräkning!J41</f>
        <v>20545</v>
      </c>
      <c r="K40" s="2">
        <f>Beräkning!K41</f>
        <v>117592</v>
      </c>
      <c r="L40" s="19"/>
      <c r="M40" s="2">
        <f>Beräkning!O41</f>
        <v>512315</v>
      </c>
      <c r="N40" s="2"/>
      <c r="O40" s="20">
        <f>Beräkning!Q41</f>
        <v>5.2790400527579422</v>
      </c>
      <c r="Q40" s="9">
        <f>Beräkning!S41</f>
        <v>12.81976626897279</v>
      </c>
      <c r="R40" s="9">
        <f>Beräkning!AJ41</f>
        <v>10.850583460531805</v>
      </c>
      <c r="S40" s="9"/>
      <c r="T40" s="9">
        <f>Beräkning!X41</f>
        <v>8.3960443669937277</v>
      </c>
      <c r="W40" s="9">
        <f>Beräkning!AM41</f>
        <v>1.5144900498510472</v>
      </c>
    </row>
    <row r="41" spans="1:23" x14ac:dyDescent="0.25">
      <c r="A41">
        <f t="shared" si="1"/>
        <v>1993</v>
      </c>
      <c r="C41" s="2">
        <f>Beräkning!C42</f>
        <v>81014</v>
      </c>
      <c r="D41" s="2">
        <f>Beräkning!D42</f>
        <v>94932.800000000047</v>
      </c>
      <c r="E41" s="2"/>
      <c r="F41" s="2">
        <f>Beräkning!F42</f>
        <v>175946.80000000005</v>
      </c>
      <c r="G41" s="19"/>
      <c r="H41" s="2">
        <f>Beräkning!H42</f>
        <v>101438</v>
      </c>
      <c r="I41" s="2">
        <f>Beräkning!I42</f>
        <v>779</v>
      </c>
      <c r="J41" s="2"/>
      <c r="K41" s="2">
        <f>Beräkning!K42</f>
        <v>102217</v>
      </c>
      <c r="L41" s="19"/>
      <c r="M41" s="2">
        <f>Beräkning!O42</f>
        <v>586044.80000000005</v>
      </c>
      <c r="N41" s="2"/>
      <c r="O41" s="20">
        <f>Beräkning!Q42</f>
        <v>5.7333398554056574</v>
      </c>
      <c r="Q41" s="9">
        <f>Beräkning!S42</f>
        <v>18.921715281729522</v>
      </c>
      <c r="R41" s="9">
        <f>Beräkning!AJ42</f>
        <v>14.34593090330849</v>
      </c>
      <c r="S41" s="9"/>
      <c r="T41" s="9">
        <f>Beräkning!X42</f>
        <v>8.6919025708230393</v>
      </c>
      <c r="W41" s="9">
        <f>Beräkning!AM42</f>
        <v>1.8704935288050395</v>
      </c>
    </row>
    <row r="42" spans="1:23" x14ac:dyDescent="0.25">
      <c r="A42">
        <f t="shared" si="1"/>
        <v>1994</v>
      </c>
      <c r="C42" s="2">
        <f>Beräkning!C43</f>
        <v>82684</v>
      </c>
      <c r="D42" s="2">
        <f>Beräkning!D43</f>
        <v>2737.5999999999767</v>
      </c>
      <c r="E42" s="2"/>
      <c r="F42" s="2">
        <f>Beräkning!F43</f>
        <v>85421.599999999977</v>
      </c>
      <c r="G42" s="19"/>
      <c r="H42" s="2">
        <f>Beräkning!H43</f>
        <v>108371</v>
      </c>
      <c r="I42" s="2">
        <f>Beräkning!I43</f>
        <v>659</v>
      </c>
      <c r="J42" s="2"/>
      <c r="K42" s="2">
        <f>Beräkning!K43</f>
        <v>109030</v>
      </c>
      <c r="L42" s="19"/>
      <c r="M42" s="2">
        <f>Beräkning!O43</f>
        <v>562436.4</v>
      </c>
      <c r="N42" s="2"/>
      <c r="O42" s="20">
        <f>Beräkning!Q43</f>
        <v>5.1585471888471064</v>
      </c>
      <c r="Q42" s="9">
        <f>Beräkning!S43</f>
        <v>0.47787305990624368</v>
      </c>
      <c r="R42" s="9">
        <f>Beräkning!AJ43</f>
        <v>-1.9698706528150978</v>
      </c>
      <c r="S42" s="9"/>
      <c r="T42" s="9">
        <f>Beräkning!X43</f>
        <v>8.4481481905246838</v>
      </c>
      <c r="W42" s="9">
        <f>Beräkning!AM43</f>
        <v>1.7587084924628016</v>
      </c>
    </row>
    <row r="43" spans="1:23" x14ac:dyDescent="0.25">
      <c r="A43">
        <f t="shared" si="1"/>
        <v>1995</v>
      </c>
      <c r="C43" s="2">
        <f>Beräkning!C44</f>
        <v>80734</v>
      </c>
      <c r="D43" s="2">
        <f>Beräkning!D44</f>
        <v>89185.699999999953</v>
      </c>
      <c r="E43" s="2"/>
      <c r="F43" s="2">
        <f>Beräkning!F44</f>
        <v>169919.69999999995</v>
      </c>
      <c r="G43" s="19"/>
      <c r="H43" s="2">
        <f>Beräkning!H44</f>
        <v>113244</v>
      </c>
      <c r="I43" s="2">
        <f>Beräkning!I44</f>
        <v>698</v>
      </c>
      <c r="J43" s="2"/>
      <c r="K43" s="2">
        <f>Beräkning!K44</f>
        <v>113942</v>
      </c>
      <c r="L43" s="19"/>
      <c r="M43" s="2">
        <f>Beräkning!O44</f>
        <v>618414.1</v>
      </c>
      <c r="N43" s="2"/>
      <c r="O43" s="20">
        <f>Beräkning!Q44</f>
        <v>5.4274464201084758</v>
      </c>
      <c r="Q43" s="9">
        <f>Beräkning!S44</f>
        <v>16.33939282461062</v>
      </c>
      <c r="R43" s="9">
        <f>Beräkning!AJ44</f>
        <v>13.794468606572273</v>
      </c>
      <c r="S43" s="9"/>
      <c r="T43" s="9">
        <f>Beräkning!X44</f>
        <v>8.6599477985412001</v>
      </c>
      <c r="W43" s="9">
        <f>Beräkning!AM44</f>
        <v>2.0751872742915678</v>
      </c>
    </row>
    <row r="44" spans="1:23" x14ac:dyDescent="0.25">
      <c r="A44">
        <f t="shared" si="1"/>
        <v>1996</v>
      </c>
      <c r="C44" s="2">
        <f>Beräkning!C45</f>
        <v>84897</v>
      </c>
      <c r="D44" s="2">
        <f>Beräkning!D45</f>
        <v>100557.09999999998</v>
      </c>
      <c r="E44" s="2">
        <f>Beräkning!E45</f>
        <v>366</v>
      </c>
      <c r="F44" s="2">
        <f>Beräkning!F45</f>
        <v>185820.09999999998</v>
      </c>
      <c r="G44" s="19"/>
      <c r="H44" s="2">
        <f>Beräkning!H45</f>
        <v>117864</v>
      </c>
      <c r="I44" s="2">
        <f>Beräkning!I45</f>
        <v>722</v>
      </c>
      <c r="J44" s="2"/>
      <c r="K44" s="2">
        <f>Beräkning!K45</f>
        <v>118586</v>
      </c>
      <c r="L44" s="19"/>
      <c r="M44" s="2">
        <f>Beräkning!O45</f>
        <v>685648.2</v>
      </c>
      <c r="N44" s="2"/>
      <c r="O44" s="20">
        <f>Beräkning!Q45</f>
        <v>5.7818646383215553</v>
      </c>
      <c r="Q44" s="9">
        <f>Beräkning!S45</f>
        <v>16.710704698243095</v>
      </c>
      <c r="R44" s="9">
        <f>Beräkning!AJ45</f>
        <v>17.214360152021314</v>
      </c>
      <c r="S44" s="9"/>
      <c r="T44" s="9">
        <f>Beräkning!X45</f>
        <v>8.8700552678144575</v>
      </c>
      <c r="W44" s="9">
        <f>Beräkning!AM45</f>
        <v>2.4574271210537901</v>
      </c>
    </row>
    <row r="45" spans="1:23" x14ac:dyDescent="0.25">
      <c r="A45">
        <f t="shared" si="1"/>
        <v>1997</v>
      </c>
      <c r="C45" s="2">
        <f>Beräkning!C46</f>
        <v>87733</v>
      </c>
      <c r="D45" s="2">
        <f>Beräkning!D46</f>
        <v>60941.70000000007</v>
      </c>
      <c r="E45" s="2"/>
      <c r="F45" s="2">
        <f>Beräkning!F46</f>
        <v>148674.70000000007</v>
      </c>
      <c r="G45" s="19"/>
      <c r="H45" s="2">
        <f>Beräkning!H46</f>
        <v>121578</v>
      </c>
      <c r="I45" s="2">
        <f>Beräkning!I46</f>
        <v>847</v>
      </c>
      <c r="J45" s="2"/>
      <c r="K45" s="2">
        <f>Beräkning!K46</f>
        <v>122425</v>
      </c>
      <c r="L45" s="19"/>
      <c r="M45" s="2">
        <f>Beräkning!O46</f>
        <v>711897.9</v>
      </c>
      <c r="N45" s="2"/>
      <c r="O45" s="20">
        <f>Beräkning!Q46</f>
        <v>5.8149716152746578</v>
      </c>
      <c r="Q45" s="9">
        <f>Beräkning!S46</f>
        <v>9.118883642759231</v>
      </c>
      <c r="R45" s="9">
        <f>Beräkning!AJ46</f>
        <v>7.3500711715141831</v>
      </c>
      <c r="S45" s="9"/>
      <c r="T45" s="9">
        <f>Beräkning!X46</f>
        <v>8.8765961077688758</v>
      </c>
      <c r="W45" s="9">
        <f>Beräkning!AM46</f>
        <v>2.5832784468451386</v>
      </c>
    </row>
    <row r="46" spans="1:23" x14ac:dyDescent="0.25">
      <c r="A46">
        <f t="shared" si="1"/>
        <v>1998</v>
      </c>
      <c r="C46" s="2">
        <f>Beräkning!C47</f>
        <v>92026</v>
      </c>
      <c r="D46" s="2">
        <f>Beräkning!D47</f>
        <v>66658.900000000023</v>
      </c>
      <c r="E46" s="2"/>
      <c r="F46" s="2">
        <f>Beräkning!F47</f>
        <v>158684.90000000002</v>
      </c>
      <c r="G46" s="19"/>
      <c r="H46" s="2">
        <f>Beräkning!H47</f>
        <v>124862</v>
      </c>
      <c r="I46" s="2">
        <f>Beräkning!I47</f>
        <v>822</v>
      </c>
      <c r="J46" s="2"/>
      <c r="K46" s="2">
        <f>Beräkning!K47</f>
        <v>125684</v>
      </c>
      <c r="L46" s="19"/>
      <c r="M46" s="2">
        <f>Beräkning!O47</f>
        <v>744898.8</v>
      </c>
      <c r="N46" s="2"/>
      <c r="O46" s="20">
        <f>Beräkning!Q47</f>
        <v>5.9267591738009617</v>
      </c>
      <c r="Q46" s="9">
        <f>Beräkning!S47</f>
        <v>9.5902578866641885</v>
      </c>
      <c r="R46" s="9">
        <f>Beräkning!AJ47</f>
        <v>10.830740899432833</v>
      </c>
      <c r="S46" s="9"/>
      <c r="T46" s="9">
        <f>Beräkning!X47</f>
        <v>8.8948369433716756</v>
      </c>
      <c r="W46" s="9">
        <f>Beräkning!AM47</f>
        <v>2.7868824614542875</v>
      </c>
    </row>
    <row r="47" spans="1:23" x14ac:dyDescent="0.25">
      <c r="A47">
        <f t="shared" si="1"/>
        <v>1999</v>
      </c>
      <c r="C47" s="2">
        <f>Beräkning!C48</f>
        <v>105204</v>
      </c>
      <c r="D47" s="2">
        <f>Beräkning!D48</f>
        <v>77539</v>
      </c>
      <c r="E47" s="2"/>
      <c r="F47" s="2">
        <f>Beräkning!F48</f>
        <v>182743</v>
      </c>
      <c r="G47" s="19"/>
      <c r="H47" s="2">
        <f>Beräkning!H48</f>
        <v>134961</v>
      </c>
      <c r="I47" s="2">
        <f>Beräkning!I48</f>
        <v>1183</v>
      </c>
      <c r="J47" s="2">
        <f>Beräkning!J48</f>
        <v>45000</v>
      </c>
      <c r="K47" s="2">
        <f>Beräkning!K48</f>
        <v>181144</v>
      </c>
      <c r="L47" s="19"/>
      <c r="M47" s="2">
        <f>Beräkning!O48</f>
        <v>746497.8</v>
      </c>
      <c r="N47" s="2"/>
      <c r="O47" s="20">
        <f>Beräkning!Q48</f>
        <v>5.4831487248795394</v>
      </c>
      <c r="Q47" s="9">
        <f>Beräkning!S48</f>
        <v>10.881844991914996</v>
      </c>
      <c r="R47" s="9">
        <f>Beräkning!AJ48</f>
        <v>9.4296174380917428</v>
      </c>
      <c r="S47" s="9"/>
      <c r="T47" s="9">
        <f>Beräkning!X48</f>
        <v>8.9440754994595029</v>
      </c>
      <c r="W47" s="9">
        <f>Beräkning!AM48</f>
        <v>2.9479312218062548</v>
      </c>
    </row>
    <row r="48" spans="1:23" x14ac:dyDescent="0.25">
      <c r="A48">
        <f t="shared" si="1"/>
        <v>2000</v>
      </c>
      <c r="C48" s="2">
        <f>Beräkning!C49</f>
        <v>144275</v>
      </c>
      <c r="D48" s="2">
        <f>Beräkning!D49</f>
        <v>28703.199999999953</v>
      </c>
      <c r="E48" s="2"/>
      <c r="F48" s="2">
        <f>Beräkning!F49</f>
        <v>172978.19999999995</v>
      </c>
      <c r="G48" s="19"/>
      <c r="H48" s="2">
        <f>Beräkning!H49</f>
        <v>138840</v>
      </c>
      <c r="I48" s="2">
        <f>Beräkning!I49</f>
        <v>1732</v>
      </c>
      <c r="J48" s="2">
        <f>Beräkning!J49</f>
        <v>45000</v>
      </c>
      <c r="K48" s="2">
        <f>Beräkning!K49</f>
        <v>185572</v>
      </c>
      <c r="L48" s="19"/>
      <c r="M48" s="2">
        <f>Beräkning!O49</f>
        <v>733904</v>
      </c>
      <c r="N48" s="2"/>
      <c r="O48" s="20">
        <f>Beräkning!Q49</f>
        <v>5.2208405656887571</v>
      </c>
      <c r="Q48" s="9">
        <f>Beräkning!S49</f>
        <v>3.9240202970904039</v>
      </c>
      <c r="R48" s="9">
        <f>Beräkning!AJ49</f>
        <v>2.7759073109511201</v>
      </c>
      <c r="S48" s="9"/>
      <c r="T48" s="9">
        <f>Beräkning!X49</f>
        <v>8.818796470160617</v>
      </c>
      <c r="W48" s="9">
        <f>Beräkning!AM49</f>
        <v>2.9437320929254662</v>
      </c>
    </row>
    <row r="49" spans="1:24" x14ac:dyDescent="0.25">
      <c r="A49">
        <f t="shared" si="1"/>
        <v>2001</v>
      </c>
      <c r="C49" s="2">
        <f>Beräkning!C50</f>
        <v>156811</v>
      </c>
      <c r="D49" s="2">
        <f>Beräkning!D50</f>
        <v>-25036</v>
      </c>
      <c r="E49" s="2"/>
      <c r="F49" s="2">
        <f>Beräkning!F50</f>
        <v>131775</v>
      </c>
      <c r="G49" s="19"/>
      <c r="H49" s="2">
        <f>Beräkning!H50</f>
        <v>143564</v>
      </c>
      <c r="I49" s="2">
        <f>Beräkning!I50</f>
        <v>1943</v>
      </c>
      <c r="J49" s="2">
        <f>Beräkning!J50</f>
        <v>155000</v>
      </c>
      <c r="K49" s="2">
        <f>Beräkning!K50</f>
        <v>300507</v>
      </c>
      <c r="L49" s="19"/>
      <c r="M49" s="2">
        <f>Beräkning!O50</f>
        <v>565172</v>
      </c>
      <c r="N49" s="2"/>
      <c r="O49" s="20">
        <f>Beräkning!Q50</f>
        <v>3.8841567759626683</v>
      </c>
      <c r="Q49" s="9">
        <f>Beräkning!S50</f>
        <v>-4.2829087375717636</v>
      </c>
      <c r="R49" s="9">
        <f>Beräkning!AJ50</f>
        <v>-6.7690669521802915</v>
      </c>
      <c r="S49" s="9"/>
      <c r="T49" s="9">
        <f>Beräkning!X50</f>
        <v>8.4869212103934508</v>
      </c>
      <c r="U49" s="9">
        <f>Beräkning!AB50</f>
        <v>-4.2829087375717663</v>
      </c>
      <c r="W49" s="9">
        <f>Beräkning!AM50</f>
        <v>2.7011129502289011</v>
      </c>
      <c r="X49" s="9">
        <f>Beräkning!AQ50</f>
        <v>-6.7690669521802915</v>
      </c>
    </row>
    <row r="50" spans="1:24" x14ac:dyDescent="0.25">
      <c r="A50">
        <f t="shared" si="1"/>
        <v>2002</v>
      </c>
      <c r="C50" s="2">
        <f>Beräkning!C51</f>
        <v>160550</v>
      </c>
      <c r="D50" s="2">
        <f>Beräkning!D51</f>
        <v>-84539</v>
      </c>
      <c r="E50" s="2"/>
      <c r="F50" s="2">
        <f>Beräkning!F51</f>
        <v>76011</v>
      </c>
      <c r="G50" s="19"/>
      <c r="H50" s="2">
        <f>Beräkning!H51</f>
        <v>151562</v>
      </c>
      <c r="I50" s="2">
        <f>Beräkning!I51</f>
        <v>2081</v>
      </c>
      <c r="J50" s="2"/>
      <c r="K50" s="2">
        <f>Beräkning!K51</f>
        <v>153643</v>
      </c>
      <c r="L50" s="19"/>
      <c r="M50" s="2">
        <f>Beräkning!O51</f>
        <v>487540</v>
      </c>
      <c r="N50" s="2"/>
      <c r="O50" s="20">
        <f>Beräkning!Q51</f>
        <v>3.1732002108784649</v>
      </c>
      <c r="Q50" s="9">
        <f>Beräkning!S51</f>
        <v>-14.867254458338572</v>
      </c>
      <c r="R50" s="9">
        <f>Beräkning!AJ51</f>
        <v>-16.600236555878755</v>
      </c>
      <c r="S50" s="9"/>
      <c r="T50" s="9">
        <f>Beräkning!X51</f>
        <v>7.8770334100788153</v>
      </c>
      <c r="U50" s="9">
        <f>Beräkning!AB51</f>
        <v>-9.7300782406881332</v>
      </c>
      <c r="W50" s="9">
        <f>Beräkning!AM51</f>
        <v>2.2051039186600674</v>
      </c>
      <c r="X50" s="9">
        <f>Beräkning!AQ51</f>
        <v>-11.821557272409999</v>
      </c>
    </row>
    <row r="51" spans="1:24" x14ac:dyDescent="0.25">
      <c r="A51">
        <f t="shared" ref="A51:A58" si="2">+A50+1</f>
        <v>2003</v>
      </c>
      <c r="C51" s="2">
        <f>Beräkning!C52</f>
        <v>165107</v>
      </c>
      <c r="D51" s="2">
        <f>Beräkning!D52</f>
        <v>82059</v>
      </c>
      <c r="E51" s="2"/>
      <c r="F51" s="2">
        <f>Beräkning!F52</f>
        <v>247166</v>
      </c>
      <c r="G51" s="19"/>
      <c r="H51" s="2">
        <f>Beräkning!H52</f>
        <v>155410</v>
      </c>
      <c r="I51" s="2">
        <f>Beräkning!I52</f>
        <v>2359</v>
      </c>
      <c r="J51" s="2"/>
      <c r="K51" s="2">
        <f>Beräkning!K52</f>
        <v>157769</v>
      </c>
      <c r="L51" s="19"/>
      <c r="M51" s="2">
        <f>Beräkning!O52</f>
        <v>576937</v>
      </c>
      <c r="N51" s="2"/>
      <c r="O51" s="20">
        <f>Beräkning!Q52</f>
        <v>3.6568464020181404</v>
      </c>
      <c r="Q51" s="9">
        <f>Beräkning!S52</f>
        <v>16.705516389154106</v>
      </c>
      <c r="R51" s="9">
        <f>Beräkning!AJ52</f>
        <v>15.239366685772771</v>
      </c>
      <c r="S51" s="9"/>
      <c r="T51" s="9">
        <f>Beräkning!X52</f>
        <v>8.0700650567736343</v>
      </c>
      <c r="U51" s="9">
        <f>Beräkning!AB52</f>
        <v>-1.6609884040872269</v>
      </c>
      <c r="W51" s="9">
        <f>Beräkning!AM52</f>
        <v>2.4842949627129629</v>
      </c>
      <c r="X51" s="9">
        <f>Beräkning!AQ52</f>
        <v>-3.5929995319510244</v>
      </c>
    </row>
    <row r="52" spans="1:24" x14ac:dyDescent="0.25">
      <c r="A52">
        <f t="shared" si="2"/>
        <v>2004</v>
      </c>
      <c r="C52" s="2">
        <f>Beräkning!C53</f>
        <v>171600</v>
      </c>
      <c r="D52" s="2">
        <f>Beräkning!D53</f>
        <v>65162</v>
      </c>
      <c r="E52" s="2"/>
      <c r="F52" s="2">
        <f>Beräkning!F53</f>
        <v>236762</v>
      </c>
      <c r="G52" s="19"/>
      <c r="H52" s="2">
        <f>Beräkning!H53</f>
        <v>163162</v>
      </c>
      <c r="I52" s="2">
        <f>Beräkning!I53</f>
        <v>2737</v>
      </c>
      <c r="J52" s="2">
        <f>Beräkning!J53</f>
        <v>1600</v>
      </c>
      <c r="K52" s="2">
        <f>Beräkning!K53</f>
        <v>167499</v>
      </c>
      <c r="L52" s="19"/>
      <c r="M52" s="2">
        <f>Beräkning!O53</f>
        <v>646200</v>
      </c>
      <c r="N52" s="2"/>
      <c r="O52" s="20">
        <f>Beräkning!Q53</f>
        <v>3.8951410195359828</v>
      </c>
      <c r="Q52" s="9">
        <f>Beräkning!S53</f>
        <v>11.238945303236099</v>
      </c>
      <c r="R52" s="9">
        <f>Beräkning!AJ53</f>
        <v>10.920437227922619</v>
      </c>
      <c r="S52" s="9"/>
      <c r="T52" s="9">
        <f>Beräkning!X53</f>
        <v>8.1394942218081958</v>
      </c>
      <c r="U52" s="9">
        <f>Beräkning!AB53</f>
        <v>1.4164944712831362</v>
      </c>
      <c r="W52" s="9">
        <f>Beräkning!AM53</f>
        <v>2.6646062020279526</v>
      </c>
      <c r="X52" s="9">
        <f>Beräkning!AQ53</f>
        <v>-0.15316077778535497</v>
      </c>
    </row>
    <row r="53" spans="1:24" x14ac:dyDescent="0.25">
      <c r="A53">
        <f t="shared" si="2"/>
        <v>2005</v>
      </c>
      <c r="C53" s="2">
        <f>Beräkning!C54</f>
        <v>179552</v>
      </c>
      <c r="D53" s="2">
        <f>Beräkning!D54</f>
        <v>114397</v>
      </c>
      <c r="E53" s="2"/>
      <c r="F53" s="2">
        <f>Beräkning!F54</f>
        <v>293949</v>
      </c>
      <c r="G53" s="19"/>
      <c r="H53" s="2">
        <f>Beräkning!H54</f>
        <v>169128</v>
      </c>
      <c r="I53" s="2">
        <f>Beräkning!I54</f>
        <v>1831</v>
      </c>
      <c r="J53" s="2"/>
      <c r="K53" s="2">
        <f>Beräkning!K54</f>
        <v>170959</v>
      </c>
      <c r="L53" s="19"/>
      <c r="M53" s="2">
        <f>Beräkning!O54</f>
        <v>769190</v>
      </c>
      <c r="N53" s="2"/>
      <c r="O53" s="20">
        <f>Beräkning!Q54</f>
        <v>4.4992659058604696</v>
      </c>
      <c r="Q53" s="9">
        <f>Beräkning!S54</f>
        <v>17.586105382580843</v>
      </c>
      <c r="R53" s="9">
        <f>Beräkning!AJ54</f>
        <v>16.584662327512724</v>
      </c>
      <c r="S53" s="9"/>
      <c r="T53" s="9">
        <f>Beräkning!X54</f>
        <v>8.3365553038068576</v>
      </c>
      <c r="U53" s="9">
        <f>Beräkning!AB54</f>
        <v>4.4619376073584238</v>
      </c>
      <c r="W53" s="9">
        <f>Beräkning!AM54</f>
        <v>2.948777797136537</v>
      </c>
      <c r="X53" s="9">
        <f>Beräkning!AQ54</f>
        <v>2.9901619013406489</v>
      </c>
    </row>
    <row r="54" spans="1:24" x14ac:dyDescent="0.25">
      <c r="A54">
        <f t="shared" si="2"/>
        <v>2006</v>
      </c>
      <c r="C54" s="2">
        <f>Beräkning!C55</f>
        <v>183624</v>
      </c>
      <c r="D54" s="2">
        <f>Beräkning!D55</f>
        <v>83156</v>
      </c>
      <c r="E54" s="2"/>
      <c r="F54" s="2">
        <f>Beräkning!F55</f>
        <v>266780</v>
      </c>
      <c r="G54" s="19"/>
      <c r="H54" s="2">
        <f>Beräkning!H55</f>
        <v>176156</v>
      </c>
      <c r="I54" s="2">
        <f>Beräkning!I55</f>
        <v>1877</v>
      </c>
      <c r="J54" s="2"/>
      <c r="K54" s="2">
        <f>Beräkning!K55</f>
        <v>178033</v>
      </c>
      <c r="L54" s="19"/>
      <c r="M54" s="2">
        <f>Beräkning!O55</f>
        <v>857937</v>
      </c>
      <c r="N54" s="2"/>
      <c r="O54" s="20">
        <f>Beräkning!Q55</f>
        <v>4.8189773805979792</v>
      </c>
      <c r="Q54" s="9">
        <f>Beräkning!S55</f>
        <v>10.771704908965258</v>
      </c>
      <c r="R54" s="9">
        <f>Beräkning!AJ55</f>
        <v>8.981134809015856</v>
      </c>
      <c r="S54" s="9"/>
      <c r="T54" s="9">
        <f>Beräkning!X55</f>
        <v>8.3878053951518048</v>
      </c>
      <c r="U54" s="9">
        <f>Beräkning!AB55</f>
        <v>5.4880354225930184</v>
      </c>
      <c r="W54" s="9">
        <f>Beräkning!AM55</f>
        <v>3.0735818107361146</v>
      </c>
      <c r="X54" s="9">
        <f>Beräkning!AQ55</f>
        <v>3.965282587802843</v>
      </c>
    </row>
    <row r="55" spans="1:24" x14ac:dyDescent="0.25">
      <c r="A55">
        <f t="shared" si="2"/>
        <v>2007</v>
      </c>
      <c r="C55" s="2">
        <f>Beräkning!C56</f>
        <v>190416</v>
      </c>
      <c r="D55" s="2">
        <f>Beräkning!D56</f>
        <v>37292</v>
      </c>
      <c r="E55" s="2"/>
      <c r="F55" s="2">
        <f>Beräkning!F56</f>
        <v>227708</v>
      </c>
      <c r="G55" s="19"/>
      <c r="H55" s="2">
        <f>Beräkning!H56</f>
        <v>185653</v>
      </c>
      <c r="I55" s="2">
        <f>Beräkning!I56</f>
        <v>1520</v>
      </c>
      <c r="J55" s="2"/>
      <c r="K55" s="2">
        <f>Beräkning!K56</f>
        <v>187173</v>
      </c>
      <c r="L55" s="19"/>
      <c r="M55" s="2">
        <f>Beräkning!O56</f>
        <v>898472</v>
      </c>
      <c r="N55" s="2"/>
      <c r="O55" s="20">
        <f>Beräkning!Q56</f>
        <v>4.8002222542781281</v>
      </c>
      <c r="Q55" s="9">
        <f>Beräkning!S56</f>
        <v>4.338506337846697</v>
      </c>
      <c r="R55" s="9">
        <f>Beräkning!AJ56</f>
        <v>0.85609601224834186</v>
      </c>
      <c r="S55" s="9"/>
      <c r="T55" s="9">
        <f>Beräkning!X56</f>
        <v>8.3018628820380478</v>
      </c>
      <c r="U55" s="9">
        <f>Beräkning!AB56</f>
        <v>5.3230448266854413</v>
      </c>
      <c r="W55" s="9">
        <f>Beräkning!AM56</f>
        <v>3.0268905851073002</v>
      </c>
      <c r="X55" s="9">
        <f>Beräkning!AQ56</f>
        <v>3.5153125204568703</v>
      </c>
    </row>
    <row r="56" spans="1:24" x14ac:dyDescent="0.25">
      <c r="A56">
        <f t="shared" si="2"/>
        <v>2008</v>
      </c>
      <c r="C56" s="2">
        <f>Beräkning!C57</f>
        <v>203140</v>
      </c>
      <c r="D56" s="2">
        <f>Beräkning!D57</f>
        <v>-193935</v>
      </c>
      <c r="E56" s="2"/>
      <c r="F56" s="2">
        <f>Beräkning!F57</f>
        <v>9205</v>
      </c>
      <c r="G56" s="19"/>
      <c r="H56" s="2">
        <f>Beräkning!H57</f>
        <v>199206</v>
      </c>
      <c r="I56" s="2">
        <f>Beräkning!I57</f>
        <v>1384</v>
      </c>
      <c r="J56" s="2"/>
      <c r="K56" s="2">
        <f>Beräkning!K57</f>
        <v>200590</v>
      </c>
      <c r="L56" s="19"/>
      <c r="M56" s="2">
        <f>Beräkning!O57</f>
        <v>707087</v>
      </c>
      <c r="N56" s="2"/>
      <c r="O56" s="20">
        <f>Beräkning!Q57</f>
        <v>3.5250361433770379</v>
      </c>
      <c r="Q56" s="9">
        <f>Beräkning!S57</f>
        <v>-21.554392512561865</v>
      </c>
      <c r="R56" s="9">
        <f>Beräkning!AJ57</f>
        <v>-22.254916851139939</v>
      </c>
      <c r="S56" s="9"/>
      <c r="T56" s="9">
        <f>Beräkning!X57</f>
        <v>7.591363332051948</v>
      </c>
      <c r="U56" s="9">
        <f>Beräkning!AB57</f>
        <v>1.5147288414373072</v>
      </c>
      <c r="W56" s="9">
        <f>Beräkning!AM57</f>
        <v>2.4365941124118606</v>
      </c>
      <c r="X56" s="9">
        <f>Beräkning!AQ57</f>
        <v>-0.12354033038546319</v>
      </c>
    </row>
    <row r="57" spans="1:24" x14ac:dyDescent="0.25">
      <c r="A57">
        <f t="shared" si="2"/>
        <v>2009</v>
      </c>
      <c r="C57" s="2">
        <f>Beräkning!C58</f>
        <v>202712</v>
      </c>
      <c r="D57" s="2">
        <f>Beräkning!D58</f>
        <v>136412</v>
      </c>
      <c r="E57" s="2"/>
      <c r="F57" s="2">
        <f>Beräkning!F58</f>
        <v>339124</v>
      </c>
      <c r="G57" s="19"/>
      <c r="H57" s="2">
        <f>Beräkning!H58</f>
        <v>217412</v>
      </c>
      <c r="I57" s="2">
        <f>Beräkning!I58</f>
        <v>1730</v>
      </c>
      <c r="J57" s="2"/>
      <c r="K57" s="2">
        <f>Beräkning!K58</f>
        <v>219142</v>
      </c>
      <c r="L57" s="19"/>
      <c r="M57" s="2">
        <f>Beräkning!O58</f>
        <v>827069</v>
      </c>
      <c r="N57" s="2"/>
      <c r="O57" s="20">
        <f>Beräkning!Q58</f>
        <v>3.7741236276021941</v>
      </c>
      <c r="Q57" s="9">
        <f>Beräkning!S58</f>
        <v>19.518881855332594</v>
      </c>
      <c r="R57" s="9">
        <f>Beräkning!AJ58</f>
        <v>18.449237581377886</v>
      </c>
      <c r="S57" s="9"/>
      <c r="T57" s="9">
        <f>Beräkning!X58</f>
        <v>7.8178315256244302</v>
      </c>
      <c r="U57" s="9">
        <f>Beräkning!AB58</f>
        <v>3.373129888417159</v>
      </c>
      <c r="W57" s="9">
        <f>Beräkning!AM58</f>
        <v>2.7345855106460037</v>
      </c>
      <c r="X57" s="9">
        <f>Beräkning!AQ58</f>
        <v>1.7871707108729762</v>
      </c>
    </row>
    <row r="58" spans="1:24" x14ac:dyDescent="0.25">
      <c r="A58">
        <f t="shared" si="2"/>
        <v>2010</v>
      </c>
      <c r="C58" s="2">
        <f>Beräkning!C59</f>
        <v>205068</v>
      </c>
      <c r="D58" s="2">
        <f>Beräkning!D59</f>
        <v>84796</v>
      </c>
      <c r="E58" s="2"/>
      <c r="F58" s="2">
        <f>Beräkning!F59</f>
        <v>289864</v>
      </c>
      <c r="G58" s="19"/>
      <c r="H58" s="2">
        <f>Beräkning!H59</f>
        <v>220203</v>
      </c>
      <c r="I58" s="2">
        <f>Beräkning!I59</f>
        <v>1849</v>
      </c>
      <c r="J58" s="2"/>
      <c r="K58" s="2">
        <f>Beräkning!K59</f>
        <v>222052</v>
      </c>
      <c r="L58" s="19"/>
      <c r="M58" s="2">
        <f>Beräkning!O59</f>
        <v>894881</v>
      </c>
      <c r="N58" s="2"/>
      <c r="O58" s="20">
        <f>Beräkning!Q59</f>
        <v>4.0300515194639095</v>
      </c>
      <c r="Q58" s="9">
        <f>Beräkning!S59</f>
        <v>10.358952181651818</v>
      </c>
      <c r="R58" s="9">
        <f>Beräkning!AJ59</f>
        <v>7.8424263391394966</v>
      </c>
      <c r="S58" s="9"/>
      <c r="T58" s="9">
        <f>Beräkning!X59</f>
        <v>7.8670905711710093</v>
      </c>
      <c r="U58" s="9">
        <f>Beräkning!AB59</f>
        <v>4.0513348654531711</v>
      </c>
      <c r="W58" s="9">
        <f>Beräkning!AM59</f>
        <v>2.832375568013612</v>
      </c>
      <c r="X58" s="9">
        <f>Beräkning!AQ59</f>
        <v>2.3770717851273604</v>
      </c>
    </row>
    <row r="59" spans="1:24" x14ac:dyDescent="0.25">
      <c r="A59">
        <v>2011</v>
      </c>
      <c r="C59" s="2">
        <f>Beräkning!C60</f>
        <v>215575</v>
      </c>
      <c r="D59" s="2">
        <f>Beräkning!D60</f>
        <v>-16537</v>
      </c>
      <c r="E59" s="2"/>
      <c r="F59" s="2">
        <f>Beräkning!F60</f>
        <v>199038</v>
      </c>
      <c r="G59" s="19"/>
      <c r="H59" s="2">
        <f>Beräkning!H60</f>
        <v>219682</v>
      </c>
      <c r="I59" s="2">
        <f>Beräkning!I60</f>
        <v>1644</v>
      </c>
      <c r="J59" s="2"/>
      <c r="K59" s="2">
        <f>Beräkning!K60</f>
        <v>221326</v>
      </c>
      <c r="L59" s="19"/>
      <c r="M59" s="2">
        <f>Beräkning!O60</f>
        <v>872593</v>
      </c>
      <c r="N59" s="2"/>
      <c r="O59" s="20">
        <f>Beräkning!Q60</f>
        <v>3.9425688802942265</v>
      </c>
      <c r="Q59" s="9">
        <f>Beräkning!S60</f>
        <v>-1.8539123357423244</v>
      </c>
      <c r="R59" s="9">
        <f>Beräkning!AJ60</f>
        <v>-3.7402578162962219</v>
      </c>
      <c r="S59" s="9"/>
      <c r="T59" s="9">
        <f>Beräkning!X60</f>
        <v>7.6713593974257144</v>
      </c>
      <c r="U59" s="9">
        <f>Beräkning!AB60</f>
        <v>3.5001236141616321</v>
      </c>
      <c r="W59" s="9">
        <f>Beräkning!AM60</f>
        <v>2.7018414854773631</v>
      </c>
      <c r="X59" s="9">
        <f>Beräkning!AQ60</f>
        <v>1.8052459087463113</v>
      </c>
    </row>
    <row r="60" spans="1:24" x14ac:dyDescent="0.25">
      <c r="A60">
        <v>2012</v>
      </c>
      <c r="C60" s="2">
        <f>Beräkning!C61</f>
        <v>221765</v>
      </c>
      <c r="D60" s="2">
        <f>Beräkning!D61</f>
        <v>101395</v>
      </c>
      <c r="E60" s="2"/>
      <c r="F60" s="2">
        <f>Beräkning!F61</f>
        <v>323160</v>
      </c>
      <c r="G60" s="19"/>
      <c r="H60" s="2">
        <f>Beräkning!H61</f>
        <v>236039</v>
      </c>
      <c r="I60" s="2">
        <f>Beräkning!I61</f>
        <v>1724</v>
      </c>
      <c r="J60" s="2"/>
      <c r="K60" s="2">
        <f>Beräkning!K61</f>
        <v>237763</v>
      </c>
      <c r="L60" s="19"/>
      <c r="M60" s="2">
        <f>Beräkning!O61</f>
        <v>957990</v>
      </c>
      <c r="N60" s="2"/>
      <c r="O60" s="20">
        <f>Beräkning!Q61</f>
        <v>4.0291803182160386</v>
      </c>
      <c r="Q60" s="9">
        <f>Beräkning!S61</f>
        <v>11.727469771939198</v>
      </c>
      <c r="R60" s="9">
        <f>Beräkning!AJ61</f>
        <v>11.787841883001215</v>
      </c>
      <c r="S60" s="9"/>
      <c r="T60" s="9">
        <f>Beräkning!X61</f>
        <v>7.7465097085206436</v>
      </c>
      <c r="U60" s="9">
        <f>Beräkning!AB61</f>
        <v>4.1619559379145077</v>
      </c>
      <c r="W60" s="9">
        <f>Beräkning!AM61</f>
        <v>2.8662430880546319</v>
      </c>
      <c r="X60" s="9">
        <f>Beräkning!AQ61</f>
        <v>2.6019288173671828</v>
      </c>
    </row>
    <row r="61" spans="1:24" x14ac:dyDescent="0.25">
      <c r="A61">
        <v>2013</v>
      </c>
      <c r="C61" s="2">
        <f>Beräkning!C62</f>
        <v>227370</v>
      </c>
      <c r="D61" s="2">
        <f>Beräkning!D62</f>
        <v>127899</v>
      </c>
      <c r="E61" s="2"/>
      <c r="F61" s="2">
        <f>Beräkning!F62</f>
        <v>355269</v>
      </c>
      <c r="G61" s="19"/>
      <c r="H61" s="2">
        <f>Beräkning!H62</f>
        <v>253966</v>
      </c>
      <c r="I61" s="2">
        <f>Beräkning!I62</f>
        <v>1742</v>
      </c>
      <c r="J61" s="2"/>
      <c r="K61" s="2">
        <f>Beräkning!K62</f>
        <v>255708</v>
      </c>
      <c r="L61" s="19"/>
      <c r="M61" s="2">
        <f>Beräkning!O62</f>
        <v>1057551</v>
      </c>
      <c r="N61" s="2"/>
      <c r="O61" s="20">
        <f>Beräkning!Q62</f>
        <v>4.135775963208034</v>
      </c>
      <c r="Q61" s="9">
        <f>Beräkning!S62</f>
        <v>13.551192440091924</v>
      </c>
      <c r="R61" s="9">
        <f>Beräkning!AJ62</f>
        <v>13.396205731263699</v>
      </c>
      <c r="S61" s="9"/>
      <c r="T61" s="9">
        <f>Beräkning!X62</f>
        <v>7.8512591418880895</v>
      </c>
      <c r="U61" s="9">
        <f>Beräkning!AB62</f>
        <v>4.8557862851624334</v>
      </c>
      <c r="W61" s="9">
        <f>Beräkning!AM62</f>
        <v>3.0520621872878406</v>
      </c>
      <c r="X61" s="9">
        <f>Beräkning!AQ62</f>
        <v>3.3944659255908283</v>
      </c>
    </row>
    <row r="62" spans="1:24" x14ac:dyDescent="0.25">
      <c r="A62">
        <v>2014</v>
      </c>
      <c r="C62" s="2">
        <f>Beräkning!C63</f>
        <v>235526</v>
      </c>
      <c r="D62" s="2">
        <f>Beräkning!D63</f>
        <v>148247</v>
      </c>
      <c r="E62" s="2"/>
      <c r="F62" s="2">
        <f>Beräkning!F63</f>
        <v>383773</v>
      </c>
      <c r="G62" s="19"/>
      <c r="H62" s="2">
        <f>Beräkning!H63</f>
        <v>255110</v>
      </c>
      <c r="I62" s="2">
        <f>Beräkning!I63</f>
        <v>1760</v>
      </c>
      <c r="J62" s="2"/>
      <c r="K62" s="2">
        <f>Beräkning!K63</f>
        <v>256870</v>
      </c>
      <c r="L62" s="19"/>
      <c r="M62" s="2">
        <f>Beräkning!O63</f>
        <v>1184454</v>
      </c>
      <c r="N62" s="2"/>
      <c r="O62" s="20">
        <f>Beräkning!Q63</f>
        <v>4.6111028925137232</v>
      </c>
      <c r="Q62" s="9">
        <f>Beräkning!S63</f>
        <v>14.160853355545388</v>
      </c>
      <c r="R62" s="9">
        <f>Beräkning!AJ63</f>
        <v>14.520729951061995</v>
      </c>
      <c r="S62" s="9"/>
      <c r="T62" s="9">
        <f>Beräkning!X63</f>
        <v>7.9628063604290311</v>
      </c>
      <c r="U62" s="9">
        <f>Beräkning!AB63</f>
        <v>5.4945168193739402</v>
      </c>
      <c r="W62" s="9">
        <f>Beräkning!AM63</f>
        <v>3.2499649146580101</v>
      </c>
      <c r="X62" s="9">
        <f>Beräkning!AQ63</f>
        <v>4.1520400304670968</v>
      </c>
    </row>
    <row r="63" spans="1:24" x14ac:dyDescent="0.25">
      <c r="A63">
        <v>2015</v>
      </c>
      <c r="C63" s="2">
        <f>Beräkning!C64</f>
        <v>245503</v>
      </c>
      <c r="D63" s="2">
        <f>Beräkning!D64</f>
        <v>66531</v>
      </c>
      <c r="E63" s="2"/>
      <c r="F63" s="2">
        <f>Beräkning!F64</f>
        <v>312034</v>
      </c>
      <c r="G63" s="19"/>
      <c r="H63" s="2">
        <f>Beräkning!H64</f>
        <v>264577</v>
      </c>
      <c r="I63" s="2">
        <f>Beräkning!I64</f>
        <v>1617</v>
      </c>
      <c r="J63" s="2"/>
      <c r="K63" s="2">
        <f>Beräkning!K64</f>
        <v>266194</v>
      </c>
      <c r="L63" s="19"/>
      <c r="M63" s="2">
        <f>Beräkning!O64</f>
        <v>1230294</v>
      </c>
      <c r="N63" s="2"/>
      <c r="O63" s="20">
        <f>Beräkning!Q64</f>
        <v>4.6217946309834179</v>
      </c>
      <c r="Q63" s="9">
        <f>Beräkning!S64</f>
        <v>5.6665120812940204</v>
      </c>
      <c r="R63" s="9">
        <f>Beräkning!AJ64</f>
        <v>5.6127052580452252</v>
      </c>
      <c r="S63" s="9"/>
      <c r="T63" s="9">
        <f>Beräkning!X64</f>
        <v>7.9213666999993437</v>
      </c>
      <c r="U63" s="9">
        <f>Beräkning!AB64</f>
        <v>5.5059744552647505</v>
      </c>
      <c r="W63" s="9">
        <f>Beräkning!AM64</f>
        <v>3.2916896236553139</v>
      </c>
      <c r="X63" s="9">
        <f>Beräkning!AQ64</f>
        <v>4.2487861060114041</v>
      </c>
    </row>
    <row r="64" spans="1:24" x14ac:dyDescent="0.25">
      <c r="A64">
        <v>2016</v>
      </c>
      <c r="C64" s="2">
        <f>Beräkning!C65</f>
        <v>256700</v>
      </c>
      <c r="D64" s="2">
        <f>Beräkning!D65</f>
        <v>118633</v>
      </c>
      <c r="E64" s="2"/>
      <c r="F64" s="2">
        <f>Beräkning!F65</f>
        <v>375333</v>
      </c>
      <c r="G64" s="19"/>
      <c r="H64" s="2">
        <f>Beräkning!H65</f>
        <v>282384</v>
      </c>
      <c r="I64" s="2">
        <f>Beräkning!I65</f>
        <v>1753</v>
      </c>
      <c r="J64" s="2"/>
      <c r="K64" s="2">
        <f>Beräkning!K65</f>
        <v>284137</v>
      </c>
      <c r="L64" s="19"/>
      <c r="M64" s="2">
        <f>Beräkning!O65</f>
        <v>1321490</v>
      </c>
      <c r="N64" s="2"/>
      <c r="O64" s="20">
        <f>Beräkning!Q65</f>
        <v>4.6508902395675324</v>
      </c>
      <c r="Q64" s="9">
        <f>Beräkning!S65</f>
        <v>9.7513882204598072</v>
      </c>
      <c r="R64" s="9">
        <f>Beräkning!AJ65</f>
        <v>7.873447487333185</v>
      </c>
      <c r="S64" s="9"/>
      <c r="T64" s="9">
        <f>Beräkning!X65</f>
        <v>7.953207868091372</v>
      </c>
      <c r="U64" s="9">
        <f>Beräkning!AB65</f>
        <v>5.7664343793833339</v>
      </c>
      <c r="W64" s="9">
        <f>Beräkning!AM65</f>
        <v>3.3703695523148891</v>
      </c>
      <c r="X64" s="9">
        <f>Beräkning!AQ65</f>
        <v>4.4717160911774689</v>
      </c>
    </row>
    <row r="65" spans="1:24" x14ac:dyDescent="0.25">
      <c r="A65">
        <v>2017</v>
      </c>
      <c r="C65" s="2">
        <f>Beräkning!C66</f>
        <v>267407</v>
      </c>
      <c r="D65" s="2">
        <f>Beräkning!D66</f>
        <v>120859</v>
      </c>
      <c r="E65" s="2"/>
      <c r="F65" s="2">
        <f>Beräkning!F66</f>
        <v>388266</v>
      </c>
      <c r="G65" s="19"/>
      <c r="H65" s="2">
        <f>Beräkning!H66</f>
        <v>296001</v>
      </c>
      <c r="I65" s="2">
        <f>Beräkning!I66</f>
        <v>1859</v>
      </c>
      <c r="J65" s="2"/>
      <c r="K65" s="2">
        <f>Beräkning!K66</f>
        <v>297860</v>
      </c>
      <c r="L65" s="19"/>
      <c r="M65" s="2">
        <f>Beräkning!O66</f>
        <v>1411896</v>
      </c>
      <c r="N65" s="2"/>
      <c r="O65" s="20">
        <f>Beräkning!Q66</f>
        <v>4.7401329483650034</v>
      </c>
      <c r="Q65" s="9">
        <f>Beräkning!S66</f>
        <v>9.2522680148377425</v>
      </c>
      <c r="R65" s="9">
        <f>Beräkning!AJ66</f>
        <v>7.3878948405230904</v>
      </c>
      <c r="S65" s="9"/>
      <c r="T65" s="9">
        <f>Beräkning!X66</f>
        <v>7.9754740630074705</v>
      </c>
      <c r="U65" s="9">
        <f>Beräkning!AB66</f>
        <v>5.9683694120244324</v>
      </c>
      <c r="W65" s="9">
        <f>Beräkning!AM66</f>
        <v>3.4383474059794583</v>
      </c>
      <c r="X65" s="9">
        <f>Beräkning!AQ66</f>
        <v>4.6410425850707648</v>
      </c>
    </row>
    <row r="66" spans="1:24" x14ac:dyDescent="0.25">
      <c r="A66">
        <v>2018</v>
      </c>
      <c r="C66" s="2">
        <f>Beräkning!C67</f>
        <v>278217</v>
      </c>
      <c r="D66" s="2">
        <f>Beräkning!D67</f>
        <v>-729</v>
      </c>
      <c r="E66" s="2"/>
      <c r="F66" s="2">
        <f>Beräkning!F67</f>
        <v>277488</v>
      </c>
      <c r="G66" s="19"/>
      <c r="H66" s="2">
        <f>Beräkning!H67</f>
        <v>304444</v>
      </c>
      <c r="I66" s="2">
        <f>Beräkning!I67</f>
        <v>1821</v>
      </c>
      <c r="J66" s="2"/>
      <c r="K66" s="2">
        <f>Beräkning!K67</f>
        <v>306265</v>
      </c>
      <c r="L66" s="19"/>
      <c r="M66" s="2">
        <f>Beräkning!O67</f>
        <v>1383120</v>
      </c>
      <c r="N66" s="2"/>
      <c r="O66" s="20">
        <f>Beräkning!Q67</f>
        <v>4.516089007885328</v>
      </c>
      <c r="Q66" s="9">
        <f>Beräkning!S67</f>
        <v>-5.2150697631828946E-2</v>
      </c>
      <c r="R66" s="9">
        <f>Beräkning!AJ67</f>
        <v>-2.0518907144086329</v>
      </c>
      <c r="S66" s="9"/>
      <c r="T66" s="9">
        <f>Beräkning!X67</f>
        <v>7.8341817341992304</v>
      </c>
      <c r="U66" s="9">
        <f>Beräkning!AB67</f>
        <v>5.6245775802065578</v>
      </c>
      <c r="W66" s="9">
        <f>Beräkning!AM67</f>
        <v>3.3427761273943091</v>
      </c>
      <c r="X66" s="9">
        <f>Beräkning!AQ67</f>
        <v>4.2574936409231379</v>
      </c>
    </row>
    <row r="67" spans="1:24" x14ac:dyDescent="0.25">
      <c r="A67">
        <v>2019</v>
      </c>
      <c r="C67" s="2">
        <f>Beräkning!C68</f>
        <v>289386</v>
      </c>
      <c r="D67" s="2">
        <f>Beräkning!D68</f>
        <v>240318</v>
      </c>
      <c r="E67" s="2"/>
      <c r="F67" s="2">
        <f>Beräkning!F68</f>
        <v>529704</v>
      </c>
      <c r="G67" s="19"/>
      <c r="H67" s="2">
        <f>Beräkning!H68</f>
        <v>314724</v>
      </c>
      <c r="I67" s="2">
        <f>Beräkning!I68</f>
        <v>1757</v>
      </c>
      <c r="J67" s="2"/>
      <c r="K67" s="2">
        <f>Beräkning!K68</f>
        <v>316481</v>
      </c>
      <c r="L67" s="19"/>
      <c r="M67" s="2">
        <f>Beräkning!O68</f>
        <v>1596342</v>
      </c>
      <c r="N67" s="2"/>
      <c r="O67" s="20">
        <f>Beräkning!Q68</f>
        <v>5.0440373987695946</v>
      </c>
      <c r="Q67" s="9">
        <f>Beräkning!S68</f>
        <v>17.5469352662966</v>
      </c>
      <c r="R67" s="9">
        <f>Beräkning!AJ68</f>
        <v>15.524465194343339</v>
      </c>
      <c r="S67" s="9"/>
      <c r="T67" s="9">
        <f>Beräkning!X68</f>
        <v>7.9892922576241698</v>
      </c>
      <c r="U67" s="9">
        <f>Beräkning!AB68</f>
        <v>6.2207903564770906</v>
      </c>
      <c r="W67" s="9">
        <f>Beräkning!AM68</f>
        <v>3.5348808385373465</v>
      </c>
      <c r="X67" s="9">
        <f>Beräkning!AQ68</f>
        <v>4.8221094689329558</v>
      </c>
    </row>
    <row r="68" spans="1:24" x14ac:dyDescent="0.25">
      <c r="A68">
        <v>2020</v>
      </c>
      <c r="C68" s="2">
        <f>Beräkning!C69</f>
        <v>295499</v>
      </c>
      <c r="D68" s="2">
        <f>Beräkning!D69</f>
        <v>132722</v>
      </c>
      <c r="E68" s="2"/>
      <c r="F68" s="2">
        <f>Beräkning!F69</f>
        <v>428221</v>
      </c>
      <c r="G68" s="19"/>
      <c r="H68" s="2">
        <f>Beräkning!H69</f>
        <v>326266</v>
      </c>
      <c r="I68" s="2">
        <f>Beräkning!I69</f>
        <v>1856</v>
      </c>
      <c r="J68" s="2"/>
      <c r="K68" s="2">
        <f>Beräkning!K69</f>
        <v>328122</v>
      </c>
      <c r="L68" s="19"/>
      <c r="M68" s="2">
        <f>Beräkning!O69</f>
        <v>1696441</v>
      </c>
      <c r="N68" s="2"/>
      <c r="O68" s="20">
        <f>Beräkning!Q69</f>
        <v>5.1701531747337883</v>
      </c>
      <c r="Q68" s="9">
        <f>Beräkning!S69</f>
        <v>8.3999644310663619</v>
      </c>
      <c r="R68" s="9">
        <f>Beräkning!AJ69</f>
        <v>7.8696881861333612</v>
      </c>
      <c r="S68" s="9"/>
      <c r="T68" s="9">
        <f>Beräkning!X69</f>
        <v>7.9960120285822001</v>
      </c>
      <c r="U68" s="9">
        <f>Beräkning!AB69</f>
        <v>6.3287012201353354</v>
      </c>
      <c r="W68" s="9">
        <f>Beräkning!AM69</f>
        <v>3.6045193005966647</v>
      </c>
      <c r="X68" s="9">
        <f>Beräkning!AQ69</f>
        <v>4.9724229767773576</v>
      </c>
    </row>
    <row r="69" spans="1:24" x14ac:dyDescent="0.25">
      <c r="C69" s="2"/>
      <c r="D69" s="2"/>
      <c r="E69" s="2"/>
      <c r="F69" s="2"/>
      <c r="G69" s="19"/>
      <c r="H69" s="2"/>
      <c r="I69" s="2"/>
      <c r="J69" s="2"/>
      <c r="K69" s="2"/>
      <c r="L69" s="19"/>
      <c r="M69" s="2"/>
      <c r="N69" s="2"/>
      <c r="O69" s="20"/>
      <c r="Q69" s="9"/>
      <c r="R69" s="9"/>
      <c r="S69" s="9"/>
      <c r="T69" s="9"/>
      <c r="U69" s="9"/>
      <c r="W69" s="9"/>
      <c r="X69" s="9"/>
    </row>
    <row r="70" spans="1:24" x14ac:dyDescent="0.25">
      <c r="A70" s="4"/>
      <c r="C70" s="1" t="s">
        <v>38</v>
      </c>
    </row>
    <row r="71" spans="1:24" x14ac:dyDescent="0.25">
      <c r="A71" s="4"/>
      <c r="C71" s="1"/>
      <c r="U71" s="7"/>
    </row>
    <row r="72" spans="1:24" x14ac:dyDescent="0.25">
      <c r="C72" s="7" t="s">
        <v>89</v>
      </c>
    </row>
    <row r="73" spans="1:24" x14ac:dyDescent="0.25">
      <c r="C73" s="7" t="s">
        <v>79</v>
      </c>
    </row>
    <row r="74" spans="1:24" x14ac:dyDescent="0.25">
      <c r="C74" s="7" t="s">
        <v>81</v>
      </c>
    </row>
    <row r="75" spans="1:24" x14ac:dyDescent="0.25">
      <c r="C75" s="7" t="s">
        <v>78</v>
      </c>
    </row>
    <row r="76" spans="1:24" x14ac:dyDescent="0.25">
      <c r="C76" s="7" t="s">
        <v>121</v>
      </c>
    </row>
    <row r="77" spans="1:24" x14ac:dyDescent="0.25">
      <c r="C77" s="7" t="s">
        <v>80</v>
      </c>
    </row>
    <row r="78" spans="1:24" x14ac:dyDescent="0.25">
      <c r="C78" s="7" t="s">
        <v>122</v>
      </c>
    </row>
    <row r="80" spans="1:24" x14ac:dyDescent="0.25">
      <c r="C80" s="7" t="s">
        <v>82</v>
      </c>
    </row>
    <row r="81" spans="3:3" x14ac:dyDescent="0.25">
      <c r="C81" s="7" t="s">
        <v>90</v>
      </c>
    </row>
    <row r="82" spans="3:3" x14ac:dyDescent="0.25">
      <c r="C82" s="7" t="s">
        <v>91</v>
      </c>
    </row>
    <row r="83" spans="3:3" x14ac:dyDescent="0.25">
      <c r="C83" s="7" t="s">
        <v>115</v>
      </c>
    </row>
    <row r="84" spans="3:3" x14ac:dyDescent="0.25">
      <c r="C84" s="7" t="s">
        <v>118</v>
      </c>
    </row>
    <row r="86" spans="3:3" x14ac:dyDescent="0.25">
      <c r="C86" s="7" t="s">
        <v>85</v>
      </c>
    </row>
    <row r="87" spans="3:3" x14ac:dyDescent="0.25">
      <c r="C87" s="7" t="s">
        <v>86</v>
      </c>
    </row>
    <row r="89" spans="3:3" x14ac:dyDescent="0.25">
      <c r="C89" s="7" t="s">
        <v>83</v>
      </c>
    </row>
    <row r="90" spans="3:3" x14ac:dyDescent="0.25">
      <c r="C90" s="7" t="s">
        <v>84</v>
      </c>
    </row>
    <row r="92" spans="3:3" x14ac:dyDescent="0.25">
      <c r="C92" t="s">
        <v>116</v>
      </c>
    </row>
    <row r="93" spans="3:3" x14ac:dyDescent="0.25">
      <c r="C93" t="s">
        <v>41</v>
      </c>
    </row>
    <row r="94" spans="3:3" x14ac:dyDescent="0.25">
      <c r="C94" t="s">
        <v>40</v>
      </c>
    </row>
    <row r="96" spans="3:3" x14ac:dyDescent="0.25">
      <c r="C96" s="7" t="s">
        <v>77</v>
      </c>
    </row>
    <row r="97" spans="3:13" x14ac:dyDescent="0.25">
      <c r="C97" s="7" t="s">
        <v>93</v>
      </c>
    </row>
    <row r="98" spans="3:13" x14ac:dyDescent="0.25">
      <c r="C98" s="7" t="s">
        <v>94</v>
      </c>
    </row>
    <row r="100" spans="3:13" x14ac:dyDescent="0.25">
      <c r="C100" s="7" t="s">
        <v>100</v>
      </c>
    </row>
    <row r="101" spans="3:13" x14ac:dyDescent="0.25">
      <c r="C101" s="7" t="s">
        <v>99</v>
      </c>
    </row>
    <row r="103" spans="3:13" x14ac:dyDescent="0.25">
      <c r="C103" s="7" t="s">
        <v>76</v>
      </c>
    </row>
    <row r="104" spans="3:13" x14ac:dyDescent="0.25">
      <c r="C104" s="7" t="s">
        <v>119</v>
      </c>
    </row>
    <row r="106" spans="3:13" x14ac:dyDescent="0.25">
      <c r="C106" s="7" t="s">
        <v>87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3:13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3:13" x14ac:dyDescent="0.25">
      <c r="C108" s="7" t="s">
        <v>88</v>
      </c>
    </row>
    <row r="109" spans="3:13" x14ac:dyDescent="0.25">
      <c r="C109" s="7" t="s">
        <v>120</v>
      </c>
    </row>
    <row r="110" spans="3:13" x14ac:dyDescent="0.25">
      <c r="C110" s="7"/>
    </row>
    <row r="111" spans="3:13" x14ac:dyDescent="0.25">
      <c r="C111" s="7" t="s">
        <v>92</v>
      </c>
    </row>
    <row r="113" spans="3:13" x14ac:dyDescent="0.2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6"/>
  <sheetViews>
    <sheetView workbookViewId="0">
      <pane xSplit="1" ySplit="4" topLeftCell="B44" activePane="bottomRight" state="frozen"/>
      <selection pane="topRight" activeCell="B1" sqref="B1"/>
      <selection pane="bottomLeft" activeCell="A5" sqref="A5"/>
      <selection pane="bottomRight" activeCell="B70" sqref="B70"/>
    </sheetView>
  </sheetViews>
  <sheetFormatPr defaultRowHeight="13.2" x14ac:dyDescent="0.25"/>
  <cols>
    <col min="1" max="1" width="6.109375" customWidth="1"/>
    <col min="2" max="2" width="12.109375" customWidth="1"/>
  </cols>
  <sheetData>
    <row r="1" spans="1:8" ht="15.6" x14ac:dyDescent="0.3">
      <c r="B1" s="14" t="s">
        <v>64</v>
      </c>
    </row>
    <row r="3" spans="1:8" x14ac:dyDescent="0.25">
      <c r="B3" s="17" t="s">
        <v>47</v>
      </c>
      <c r="D3" s="17" t="s">
        <v>49</v>
      </c>
      <c r="F3" s="17" t="s">
        <v>51</v>
      </c>
    </row>
    <row r="4" spans="1:8" x14ac:dyDescent="0.25">
      <c r="B4" s="17" t="s">
        <v>48</v>
      </c>
      <c r="D4" s="17" t="s">
        <v>50</v>
      </c>
      <c r="F4" s="17" t="s">
        <v>52</v>
      </c>
      <c r="H4" s="17" t="s">
        <v>53</v>
      </c>
    </row>
    <row r="5" spans="1:8" x14ac:dyDescent="0.25">
      <c r="B5" s="17"/>
      <c r="D5" s="17"/>
      <c r="F5" s="17"/>
      <c r="H5" s="17"/>
    </row>
    <row r="6" spans="1:8" x14ac:dyDescent="0.25">
      <c r="A6">
        <v>1960</v>
      </c>
      <c r="B6" s="9">
        <v>3</v>
      </c>
    </row>
    <row r="7" spans="1:8" x14ac:dyDescent="0.25">
      <c r="A7">
        <f>A6+1</f>
        <v>1961</v>
      </c>
      <c r="B7" s="9">
        <v>4</v>
      </c>
    </row>
    <row r="8" spans="1:8" x14ac:dyDescent="0.25">
      <c r="A8">
        <f t="shared" ref="A8:A59" si="0">A7+1</f>
        <v>1962</v>
      </c>
      <c r="B8" s="9">
        <v>5</v>
      </c>
    </row>
    <row r="9" spans="1:8" x14ac:dyDescent="0.25">
      <c r="A9">
        <f t="shared" si="0"/>
        <v>1963</v>
      </c>
      <c r="B9" s="9">
        <v>6</v>
      </c>
    </row>
    <row r="10" spans="1:8" x14ac:dyDescent="0.25">
      <c r="A10">
        <f t="shared" si="0"/>
        <v>1964</v>
      </c>
      <c r="B10" s="9">
        <v>7</v>
      </c>
    </row>
    <row r="11" spans="1:8" x14ac:dyDescent="0.25">
      <c r="A11">
        <f t="shared" si="0"/>
        <v>1965</v>
      </c>
      <c r="B11" s="9">
        <v>7.5</v>
      </c>
    </row>
    <row r="12" spans="1:8" x14ac:dyDescent="0.25">
      <c r="A12">
        <f t="shared" si="0"/>
        <v>1966</v>
      </c>
      <c r="B12" s="9">
        <v>8</v>
      </c>
    </row>
    <row r="13" spans="1:8" x14ac:dyDescent="0.25">
      <c r="A13">
        <f t="shared" si="0"/>
        <v>1967</v>
      </c>
      <c r="B13" s="9">
        <v>8.5</v>
      </c>
    </row>
    <row r="14" spans="1:8" x14ac:dyDescent="0.25">
      <c r="A14">
        <f t="shared" si="0"/>
        <v>1968</v>
      </c>
      <c r="B14" s="9">
        <v>9</v>
      </c>
    </row>
    <row r="15" spans="1:8" x14ac:dyDescent="0.25">
      <c r="A15">
        <f t="shared" si="0"/>
        <v>1969</v>
      </c>
      <c r="B15" s="9">
        <v>9.5</v>
      </c>
    </row>
    <row r="16" spans="1:8" x14ac:dyDescent="0.25">
      <c r="A16">
        <f t="shared" si="0"/>
        <v>1970</v>
      </c>
      <c r="B16" s="9">
        <v>10</v>
      </c>
    </row>
    <row r="17" spans="1:2" x14ac:dyDescent="0.25">
      <c r="A17">
        <f t="shared" si="0"/>
        <v>1971</v>
      </c>
      <c r="B17" s="9">
        <v>10.25</v>
      </c>
    </row>
    <row r="18" spans="1:2" x14ac:dyDescent="0.25">
      <c r="A18">
        <f t="shared" si="0"/>
        <v>1972</v>
      </c>
      <c r="B18" s="9">
        <v>10.5</v>
      </c>
    </row>
    <row r="19" spans="1:2" x14ac:dyDescent="0.25">
      <c r="A19">
        <f t="shared" si="0"/>
        <v>1973</v>
      </c>
      <c r="B19" s="9">
        <v>10.5</v>
      </c>
    </row>
    <row r="20" spans="1:2" x14ac:dyDescent="0.25">
      <c r="A20">
        <f t="shared" si="0"/>
        <v>1974</v>
      </c>
      <c r="B20" s="9">
        <v>10.5</v>
      </c>
    </row>
    <row r="21" spans="1:2" x14ac:dyDescent="0.25">
      <c r="A21">
        <f t="shared" si="0"/>
        <v>1975</v>
      </c>
      <c r="B21" s="9">
        <v>10.75</v>
      </c>
    </row>
    <row r="22" spans="1:2" x14ac:dyDescent="0.25">
      <c r="A22">
        <f t="shared" si="0"/>
        <v>1976</v>
      </c>
      <c r="B22" s="9">
        <v>11</v>
      </c>
    </row>
    <row r="23" spans="1:2" x14ac:dyDescent="0.25">
      <c r="A23">
        <f t="shared" si="0"/>
        <v>1977</v>
      </c>
      <c r="B23" s="9">
        <v>11.75</v>
      </c>
    </row>
    <row r="24" spans="1:2" x14ac:dyDescent="0.25">
      <c r="A24">
        <f t="shared" si="0"/>
        <v>1978</v>
      </c>
      <c r="B24" s="9">
        <v>11.75</v>
      </c>
    </row>
    <row r="25" spans="1:2" x14ac:dyDescent="0.25">
      <c r="A25">
        <f t="shared" si="0"/>
        <v>1979</v>
      </c>
      <c r="B25" s="9">
        <v>11.75</v>
      </c>
    </row>
    <row r="26" spans="1:2" x14ac:dyDescent="0.25">
      <c r="A26">
        <f t="shared" si="0"/>
        <v>1980</v>
      </c>
      <c r="B26" s="9">
        <v>12</v>
      </c>
    </row>
    <row r="27" spans="1:2" x14ac:dyDescent="0.25">
      <c r="A27">
        <f t="shared" si="0"/>
        <v>1981</v>
      </c>
      <c r="B27" s="9">
        <v>12.25</v>
      </c>
    </row>
    <row r="28" spans="1:2" x14ac:dyDescent="0.25">
      <c r="A28">
        <f t="shared" si="0"/>
        <v>1982</v>
      </c>
      <c r="B28" s="9">
        <v>9.4</v>
      </c>
    </row>
    <row r="29" spans="1:2" x14ac:dyDescent="0.25">
      <c r="A29">
        <f t="shared" si="0"/>
        <v>1983</v>
      </c>
      <c r="B29" s="9">
        <v>9.6</v>
      </c>
    </row>
    <row r="30" spans="1:2" x14ac:dyDescent="0.25">
      <c r="A30">
        <f t="shared" si="0"/>
        <v>1984</v>
      </c>
      <c r="B30" s="9">
        <v>10</v>
      </c>
    </row>
    <row r="31" spans="1:2" x14ac:dyDescent="0.25">
      <c r="A31">
        <f t="shared" si="0"/>
        <v>1985</v>
      </c>
      <c r="B31" s="9">
        <v>10</v>
      </c>
    </row>
    <row r="32" spans="1:2" x14ac:dyDescent="0.25">
      <c r="A32">
        <f t="shared" si="0"/>
        <v>1986</v>
      </c>
      <c r="B32" s="9">
        <v>10</v>
      </c>
    </row>
    <row r="33" spans="1:8" x14ac:dyDescent="0.25">
      <c r="A33">
        <f t="shared" si="0"/>
        <v>1987</v>
      </c>
      <c r="B33" s="9">
        <v>10.199999999999999</v>
      </c>
    </row>
    <row r="34" spans="1:8" x14ac:dyDescent="0.25">
      <c r="A34">
        <f t="shared" si="0"/>
        <v>1988</v>
      </c>
      <c r="B34" s="9">
        <v>10.6</v>
      </c>
    </row>
    <row r="35" spans="1:8" x14ac:dyDescent="0.25">
      <c r="A35">
        <f t="shared" si="0"/>
        <v>1989</v>
      </c>
      <c r="B35" s="9">
        <v>11</v>
      </c>
    </row>
    <row r="36" spans="1:8" x14ac:dyDescent="0.25">
      <c r="A36">
        <f t="shared" si="0"/>
        <v>1990</v>
      </c>
      <c r="B36" s="9">
        <v>13</v>
      </c>
    </row>
    <row r="37" spans="1:8" x14ac:dyDescent="0.25">
      <c r="A37">
        <f t="shared" si="0"/>
        <v>1991</v>
      </c>
      <c r="B37" s="9">
        <v>13</v>
      </c>
    </row>
    <row r="38" spans="1:8" x14ac:dyDescent="0.25">
      <c r="A38">
        <f t="shared" si="0"/>
        <v>1992</v>
      </c>
      <c r="B38" s="9">
        <v>13</v>
      </c>
    </row>
    <row r="39" spans="1:8" x14ac:dyDescent="0.25">
      <c r="A39">
        <f t="shared" si="0"/>
        <v>1993</v>
      </c>
      <c r="B39" s="9">
        <v>13</v>
      </c>
    </row>
    <row r="40" spans="1:8" x14ac:dyDescent="0.25">
      <c r="A40">
        <f t="shared" si="0"/>
        <v>1994</v>
      </c>
      <c r="B40" s="9">
        <v>13</v>
      </c>
    </row>
    <row r="41" spans="1:8" x14ac:dyDescent="0.25">
      <c r="A41">
        <f t="shared" si="0"/>
        <v>1995</v>
      </c>
      <c r="B41" s="9">
        <v>13</v>
      </c>
      <c r="D41" s="9">
        <v>1</v>
      </c>
    </row>
    <row r="42" spans="1:8" x14ac:dyDescent="0.25">
      <c r="A42">
        <f t="shared" si="0"/>
        <v>1996</v>
      </c>
      <c r="B42" s="9">
        <v>13</v>
      </c>
      <c r="D42" s="9">
        <v>1</v>
      </c>
    </row>
    <row r="43" spans="1:8" x14ac:dyDescent="0.25">
      <c r="A43">
        <f t="shared" si="0"/>
        <v>1997</v>
      </c>
      <c r="B43" s="9">
        <v>13</v>
      </c>
      <c r="D43" s="9">
        <v>1</v>
      </c>
    </row>
    <row r="44" spans="1:8" x14ac:dyDescent="0.25">
      <c r="A44">
        <f t="shared" si="0"/>
        <v>1998</v>
      </c>
      <c r="B44" s="9">
        <v>6.4</v>
      </c>
      <c r="D44" s="9">
        <v>6.95</v>
      </c>
    </row>
    <row r="45" spans="1:8" x14ac:dyDescent="0.25">
      <c r="A45">
        <f t="shared" si="0"/>
        <v>1999</v>
      </c>
      <c r="B45" s="9">
        <v>6.4</v>
      </c>
      <c r="D45" s="9">
        <v>6.95</v>
      </c>
      <c r="F45" s="9">
        <v>6.4</v>
      </c>
      <c r="G45" s="9"/>
      <c r="H45" s="9">
        <v>18.5</v>
      </c>
    </row>
    <row r="46" spans="1:8" x14ac:dyDescent="0.25">
      <c r="A46">
        <f t="shared" si="0"/>
        <v>2000</v>
      </c>
      <c r="B46" s="9">
        <v>10.210000000000001</v>
      </c>
      <c r="D46" s="9">
        <v>7</v>
      </c>
      <c r="F46" s="9">
        <v>10.210000000000001</v>
      </c>
      <c r="G46" s="9"/>
      <c r="H46" s="9">
        <v>18.5</v>
      </c>
    </row>
    <row r="47" spans="1:8" x14ac:dyDescent="0.25">
      <c r="A47">
        <f t="shared" si="0"/>
        <v>2001</v>
      </c>
      <c r="B47" s="9">
        <v>10.210000000000001</v>
      </c>
      <c r="D47" s="9">
        <v>7</v>
      </c>
      <c r="F47" s="9">
        <v>10.210000000000001</v>
      </c>
      <c r="G47" s="9"/>
      <c r="H47" s="9">
        <v>18.5</v>
      </c>
    </row>
    <row r="48" spans="1:8" x14ac:dyDescent="0.25">
      <c r="A48">
        <f t="shared" si="0"/>
        <v>2002</v>
      </c>
      <c r="B48" s="9">
        <v>10.210000000000001</v>
      </c>
      <c r="D48" s="9">
        <v>7</v>
      </c>
      <c r="F48" s="9">
        <v>10.210000000000001</v>
      </c>
      <c r="G48" s="9"/>
      <c r="H48" s="9">
        <v>18.5</v>
      </c>
    </row>
    <row r="49" spans="1:8" x14ac:dyDescent="0.25">
      <c r="A49">
        <f t="shared" si="0"/>
        <v>2003</v>
      </c>
      <c r="B49" s="9">
        <v>10.210000000000001</v>
      </c>
      <c r="D49" s="9">
        <v>7</v>
      </c>
      <c r="F49" s="9">
        <v>10.210000000000001</v>
      </c>
      <c r="G49" s="9"/>
      <c r="H49" s="9">
        <v>18.5</v>
      </c>
    </row>
    <row r="50" spans="1:8" x14ac:dyDescent="0.25">
      <c r="A50">
        <f t="shared" si="0"/>
        <v>2004</v>
      </c>
      <c r="B50" s="9">
        <v>10.210000000000001</v>
      </c>
      <c r="D50" s="9">
        <v>7</v>
      </c>
      <c r="F50" s="9">
        <v>10.210000000000001</v>
      </c>
      <c r="G50" s="9"/>
      <c r="H50" s="9">
        <v>18.5</v>
      </c>
    </row>
    <row r="51" spans="1:8" x14ac:dyDescent="0.25">
      <c r="A51">
        <f t="shared" si="0"/>
        <v>2005</v>
      </c>
      <c r="B51" s="9">
        <v>10.210000000000001</v>
      </c>
      <c r="D51" s="9">
        <v>7</v>
      </c>
      <c r="F51" s="9">
        <v>10.210000000000001</v>
      </c>
      <c r="G51" s="9"/>
      <c r="H51" s="9">
        <v>18.5</v>
      </c>
    </row>
    <row r="52" spans="1:8" x14ac:dyDescent="0.25">
      <c r="A52">
        <f t="shared" si="0"/>
        <v>2006</v>
      </c>
      <c r="B52" s="9">
        <v>10.210000000000001</v>
      </c>
      <c r="D52" s="9">
        <v>7</v>
      </c>
      <c r="F52" s="9">
        <v>10.210000000000001</v>
      </c>
      <c r="G52" s="9"/>
      <c r="H52" s="9">
        <v>18.5</v>
      </c>
    </row>
    <row r="53" spans="1:8" x14ac:dyDescent="0.25">
      <c r="A53">
        <f t="shared" si="0"/>
        <v>2007</v>
      </c>
      <c r="B53" s="9">
        <v>10.210000000000001</v>
      </c>
      <c r="D53" s="9">
        <v>7</v>
      </c>
      <c r="F53" s="9">
        <v>10.210000000000001</v>
      </c>
      <c r="G53" s="9"/>
      <c r="H53" s="9">
        <v>18.5</v>
      </c>
    </row>
    <row r="54" spans="1:8" x14ac:dyDescent="0.25">
      <c r="A54">
        <f t="shared" si="0"/>
        <v>2008</v>
      </c>
      <c r="B54" s="9">
        <v>10.210000000000001</v>
      </c>
      <c r="D54" s="9">
        <v>7</v>
      </c>
      <c r="F54" s="9">
        <v>10.210000000000001</v>
      </c>
      <c r="G54" s="9"/>
      <c r="H54" s="9">
        <v>18.5</v>
      </c>
    </row>
    <row r="55" spans="1:8" x14ac:dyDescent="0.25">
      <c r="A55">
        <f t="shared" si="0"/>
        <v>2009</v>
      </c>
      <c r="B55" s="9">
        <v>10.210000000000001</v>
      </c>
      <c r="D55" s="9">
        <v>7</v>
      </c>
      <c r="F55" s="9">
        <v>10.210000000000001</v>
      </c>
      <c r="G55" s="9"/>
      <c r="H55" s="9">
        <v>18.5</v>
      </c>
    </row>
    <row r="56" spans="1:8" x14ac:dyDescent="0.25">
      <c r="A56">
        <f t="shared" si="0"/>
        <v>2010</v>
      </c>
      <c r="B56" s="9">
        <v>10.210000000000001</v>
      </c>
      <c r="D56" s="9">
        <v>7</v>
      </c>
      <c r="F56" s="9">
        <v>10.210000000000001</v>
      </c>
      <c r="G56" s="9"/>
      <c r="H56" s="9">
        <v>18.5</v>
      </c>
    </row>
    <row r="57" spans="1:8" x14ac:dyDescent="0.25">
      <c r="A57">
        <f t="shared" si="0"/>
        <v>2011</v>
      </c>
      <c r="B57" s="9">
        <v>10.210000000000001</v>
      </c>
      <c r="D57" s="9">
        <v>7</v>
      </c>
      <c r="F57" s="9">
        <v>10.210000000000001</v>
      </c>
      <c r="G57" s="9"/>
      <c r="H57" s="9">
        <v>18.5</v>
      </c>
    </row>
    <row r="58" spans="1:8" x14ac:dyDescent="0.25">
      <c r="A58">
        <v>2012</v>
      </c>
      <c r="B58" s="9">
        <v>10.210000000000001</v>
      </c>
      <c r="D58" s="9">
        <v>7</v>
      </c>
      <c r="F58" s="9">
        <v>10.210000000000001</v>
      </c>
      <c r="G58" s="9"/>
      <c r="H58" s="9">
        <v>18.5</v>
      </c>
    </row>
    <row r="59" spans="1:8" x14ac:dyDescent="0.25">
      <c r="A59">
        <f t="shared" si="0"/>
        <v>2013</v>
      </c>
      <c r="B59" s="9">
        <v>10.210000000000001</v>
      </c>
      <c r="D59" s="9">
        <v>7</v>
      </c>
      <c r="F59" s="9">
        <v>10.210000000000001</v>
      </c>
      <c r="G59" s="9"/>
      <c r="H59" s="9">
        <v>18.5</v>
      </c>
    </row>
    <row r="60" spans="1:8" x14ac:dyDescent="0.25">
      <c r="A60">
        <v>2014</v>
      </c>
      <c r="B60" s="9">
        <v>10.210000000000001</v>
      </c>
      <c r="D60" s="9">
        <v>7</v>
      </c>
      <c r="F60" s="9">
        <v>10.210000000000001</v>
      </c>
      <c r="G60" s="9"/>
      <c r="H60" s="9">
        <v>18.5</v>
      </c>
    </row>
    <row r="61" spans="1:8" x14ac:dyDescent="0.25">
      <c r="A61">
        <v>2015</v>
      </c>
      <c r="B61" s="9">
        <v>10.210000000000001</v>
      </c>
      <c r="D61" s="9">
        <v>7</v>
      </c>
      <c r="F61" s="9">
        <v>10.210000000000001</v>
      </c>
      <c r="G61" s="9"/>
      <c r="H61" s="9">
        <v>18.5</v>
      </c>
    </row>
    <row r="62" spans="1:8" x14ac:dyDescent="0.25">
      <c r="A62">
        <v>2016</v>
      </c>
      <c r="B62" s="9">
        <v>10.210000000000001</v>
      </c>
      <c r="D62" s="9">
        <v>7</v>
      </c>
      <c r="F62" s="9">
        <v>10.210000000000001</v>
      </c>
      <c r="G62" s="9"/>
      <c r="H62" s="9">
        <v>18.5</v>
      </c>
    </row>
    <row r="63" spans="1:8" x14ac:dyDescent="0.25">
      <c r="A63">
        <v>2017</v>
      </c>
      <c r="B63" s="9">
        <v>10.210000000000001</v>
      </c>
      <c r="D63" s="9">
        <v>7</v>
      </c>
      <c r="F63" s="9">
        <v>10.210000000000001</v>
      </c>
      <c r="G63" s="9"/>
      <c r="H63" s="9">
        <v>18.5</v>
      </c>
    </row>
    <row r="64" spans="1:8" x14ac:dyDescent="0.25">
      <c r="A64">
        <v>2018</v>
      </c>
      <c r="B64" s="9">
        <v>10.210000000000001</v>
      </c>
      <c r="D64" s="9">
        <v>7</v>
      </c>
      <c r="F64" s="9">
        <v>10.210000000000001</v>
      </c>
      <c r="G64" s="9"/>
      <c r="H64" s="9">
        <v>18.5</v>
      </c>
    </row>
    <row r="65" spans="1:8" x14ac:dyDescent="0.25">
      <c r="A65">
        <v>2019</v>
      </c>
      <c r="B65" s="9">
        <v>10.210000000000001</v>
      </c>
      <c r="D65" s="9">
        <v>7</v>
      </c>
      <c r="F65" s="9">
        <v>10.210000000000001</v>
      </c>
      <c r="G65" s="9"/>
      <c r="H65" s="9">
        <v>18.5</v>
      </c>
    </row>
    <row r="66" spans="1:8" x14ac:dyDescent="0.25">
      <c r="A66">
        <v>2020</v>
      </c>
      <c r="B66" s="9">
        <v>10.210000000000001</v>
      </c>
      <c r="D66" s="9">
        <v>7</v>
      </c>
      <c r="F66" s="9">
        <v>10.210000000000001</v>
      </c>
      <c r="G66" s="9"/>
      <c r="H66" s="9">
        <v>18.5</v>
      </c>
    </row>
    <row r="67" spans="1:8" x14ac:dyDescent="0.25">
      <c r="B67" s="9"/>
      <c r="D67" s="9"/>
      <c r="F67" s="9"/>
      <c r="G67" s="9"/>
      <c r="H67" s="9"/>
    </row>
    <row r="68" spans="1:8" x14ac:dyDescent="0.25">
      <c r="B68" s="42" t="s">
        <v>38</v>
      </c>
      <c r="D68" s="9"/>
      <c r="F68" s="9"/>
      <c r="G68" s="9"/>
      <c r="H68" s="9"/>
    </row>
    <row r="69" spans="1:8" x14ac:dyDescent="0.25">
      <c r="B69" s="42"/>
      <c r="D69" s="9"/>
      <c r="F69" s="9"/>
      <c r="G69" s="9"/>
      <c r="H69" s="9"/>
    </row>
    <row r="70" spans="1:8" x14ac:dyDescent="0.25">
      <c r="B70" s="7" t="s">
        <v>74</v>
      </c>
      <c r="D70" s="9"/>
      <c r="F70" s="9"/>
      <c r="G70" s="9"/>
      <c r="H70" s="9"/>
    </row>
    <row r="71" spans="1:8" x14ac:dyDescent="0.25">
      <c r="B71" s="7" t="s">
        <v>71</v>
      </c>
      <c r="D71" s="9"/>
      <c r="F71" s="9"/>
      <c r="G71" s="9"/>
      <c r="H71" s="9"/>
    </row>
    <row r="72" spans="1:8" x14ac:dyDescent="0.25">
      <c r="B72" s="7"/>
      <c r="D72" s="9"/>
      <c r="F72" s="9"/>
      <c r="G72" s="9"/>
      <c r="H72" s="9"/>
    </row>
    <row r="73" spans="1:8" x14ac:dyDescent="0.25">
      <c r="B73" s="7" t="s">
        <v>73</v>
      </c>
    </row>
    <row r="74" spans="1:8" x14ac:dyDescent="0.25">
      <c r="B74" s="7" t="s">
        <v>72</v>
      </c>
    </row>
    <row r="75" spans="1:8" x14ac:dyDescent="0.25">
      <c r="B75" s="7"/>
    </row>
    <row r="76" spans="1:8" x14ac:dyDescent="0.25">
      <c r="A76" s="17"/>
      <c r="B76" s="17" t="s">
        <v>55</v>
      </c>
    </row>
    <row r="77" spans="1:8" x14ac:dyDescent="0.25">
      <c r="A77" s="17"/>
      <c r="B77" s="17"/>
    </row>
    <row r="78" spans="1:8" x14ac:dyDescent="0.25">
      <c r="B78" s="7" t="s">
        <v>75</v>
      </c>
    </row>
    <row r="79" spans="1:8" x14ac:dyDescent="0.25">
      <c r="B79" s="7" t="s">
        <v>98</v>
      </c>
    </row>
    <row r="80" spans="1:8" x14ac:dyDescent="0.25">
      <c r="B80" s="7" t="s">
        <v>108</v>
      </c>
    </row>
    <row r="81" spans="2:2" x14ac:dyDescent="0.25">
      <c r="B81" s="17"/>
    </row>
    <row r="82" spans="2:2" x14ac:dyDescent="0.25">
      <c r="B82" s="17" t="s">
        <v>65</v>
      </c>
    </row>
    <row r="83" spans="2:2" x14ac:dyDescent="0.25">
      <c r="B83" s="17"/>
    </row>
    <row r="84" spans="2:2" x14ac:dyDescent="0.25">
      <c r="B84" s="7" t="s">
        <v>114</v>
      </c>
    </row>
    <row r="85" spans="2:2" x14ac:dyDescent="0.25">
      <c r="B85" s="7" t="s">
        <v>97</v>
      </c>
    </row>
    <row r="86" spans="2:2" x14ac:dyDescent="0.25">
      <c r="B86" s="17"/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V73"/>
  <sheetViews>
    <sheetView zoomScaleNormal="100" workbookViewId="0">
      <pane xSplit="2" ySplit="8" topLeftCell="C45" activePane="bottomRight" state="frozen"/>
      <selection pane="topRight" activeCell="C1" sqref="C1"/>
      <selection pane="bottomLeft" activeCell="A9" sqref="A9"/>
      <selection pane="bottomRight" activeCell="H6" sqref="H6"/>
    </sheetView>
  </sheetViews>
  <sheetFormatPr defaultRowHeight="13.2" x14ac:dyDescent="0.25"/>
  <cols>
    <col min="1" max="1" width="6.33203125" customWidth="1"/>
    <col min="2" max="2" width="4.6640625" customWidth="1"/>
    <col min="3" max="3" width="8.44140625" customWidth="1"/>
    <col min="5" max="5" width="7.44140625" customWidth="1"/>
    <col min="7" max="7" width="3.88671875" customWidth="1"/>
    <col min="8" max="8" width="9.5546875" customWidth="1"/>
    <col min="9" max="9" width="8.109375" customWidth="1"/>
    <col min="10" max="10" width="8.44140625" customWidth="1"/>
    <col min="11" max="11" width="10.88671875" customWidth="1"/>
    <col min="12" max="12" width="4.44140625" customWidth="1"/>
    <col min="13" max="13" width="4.33203125" customWidth="1"/>
    <col min="15" max="15" width="12.109375" customWidth="1"/>
    <col min="16" max="16" width="5.88671875" customWidth="1"/>
    <col min="18" max="18" width="6.5546875" customWidth="1"/>
    <col min="21" max="21" width="8" customWidth="1"/>
    <col min="22" max="22" width="8.44140625" customWidth="1"/>
    <col min="23" max="23" width="7.44140625" customWidth="1"/>
    <col min="24" max="24" width="12" bestFit="1" customWidth="1"/>
    <col min="25" max="25" width="3.88671875" customWidth="1"/>
    <col min="26" max="26" width="3" customWidth="1"/>
    <col min="27" max="28" width="6.5546875" customWidth="1"/>
    <col min="29" max="29" width="2.88671875" customWidth="1"/>
    <col min="30" max="30" width="3.88671875" customWidth="1"/>
    <col min="33" max="33" width="13.6640625" bestFit="1" customWidth="1"/>
    <col min="34" max="34" width="4.33203125" customWidth="1"/>
    <col min="36" max="36" width="9.5546875" bestFit="1" customWidth="1"/>
    <col min="37" max="37" width="6.6640625" customWidth="1"/>
    <col min="38" max="38" width="28" bestFit="1" customWidth="1"/>
    <col min="39" max="39" width="6.5546875" customWidth="1"/>
    <col min="40" max="40" width="3.109375" customWidth="1"/>
    <col min="41" max="41" width="3.6640625" customWidth="1"/>
    <col min="42" max="42" width="9.33203125" customWidth="1"/>
    <col min="43" max="43" width="6.44140625" bestFit="1" customWidth="1"/>
    <col min="44" max="44" width="2.88671875" customWidth="1"/>
    <col min="45" max="45" width="7.44140625" customWidth="1"/>
    <col min="46" max="46" width="6" customWidth="1"/>
    <col min="47" max="47" width="7.88671875" customWidth="1"/>
  </cols>
  <sheetData>
    <row r="2" spans="1:48" x14ac:dyDescent="0.25">
      <c r="U2" s="38">
        <f>'Tabell AP-fonderna'!AA4</f>
        <v>2000</v>
      </c>
      <c r="V2" s="38">
        <f>'Tabell AP-fonderna'!AA5</f>
        <v>2020</v>
      </c>
      <c r="W2" s="31"/>
      <c r="X2" s="31">
        <f>(U2&gt;1958)*(V2&lt;2021)*(V2&gt;U2)*(V2-U2)</f>
        <v>20</v>
      </c>
      <c r="AI2" s="38">
        <f>'Tabell AP-fonderna'!AA4</f>
        <v>2000</v>
      </c>
      <c r="AJ2" s="38">
        <f>'Tabell AP-fonderna'!AA5</f>
        <v>2020</v>
      </c>
      <c r="AK2" s="31"/>
      <c r="AL2" s="31">
        <f>(AI2&gt;1958)*(AJ2&lt;2021)*(AJ2&gt;AI2)*(AJ2-AI2)</f>
        <v>20</v>
      </c>
    </row>
    <row r="3" spans="1:48" x14ac:dyDescent="0.25">
      <c r="A3" s="1"/>
      <c r="B3" s="1"/>
      <c r="C3" s="1" t="s">
        <v>46</v>
      </c>
      <c r="U3" s="74">
        <f>IF(X2&gt;0,LOOKUP(U2,A8:A69,W8:W69))</f>
        <v>3097.8688694606026</v>
      </c>
      <c r="V3" s="74">
        <f>IF(X2&gt;0,LOOKUP(V2,A8:A69,W8:W69))</f>
        <v>10811.157716492502</v>
      </c>
      <c r="W3" s="74"/>
      <c r="X3" s="74">
        <f>IF(X2&gt;0,(((1+V3/100)/(1+U3/100))^(1/X2)-1)*100)</f>
        <v>6.3287012201353354</v>
      </c>
      <c r="AI3" s="74">
        <f>IF(AL2&gt;0,LOOKUP(AI2,A8:A69,AL8:AL69))</f>
        <v>228.54606388976237</v>
      </c>
      <c r="AJ3" s="74">
        <f>IF(AL2&gt;0,LOOKUP(AJ2,A8:A69,AL8:AL69))</f>
        <v>767.16292755045595</v>
      </c>
      <c r="AK3" s="74"/>
      <c r="AL3" s="74">
        <f>IF(AL2&gt;0,(((1+AJ3/100)/(1+AI3/100))^(1/AL2)-1)*100)</f>
        <v>4.9724229767773576</v>
      </c>
    </row>
    <row r="4" spans="1:48" x14ac:dyDescent="0.25">
      <c r="S4" s="17"/>
    </row>
    <row r="5" spans="1:48" x14ac:dyDescent="0.25">
      <c r="C5" s="3" t="s">
        <v>6</v>
      </c>
      <c r="H5" s="3" t="s">
        <v>8</v>
      </c>
      <c r="N5" s="1" t="s">
        <v>56</v>
      </c>
      <c r="Q5" t="s">
        <v>11</v>
      </c>
      <c r="S5" s="1" t="s">
        <v>13</v>
      </c>
      <c r="V5" s="1"/>
      <c r="W5" s="1" t="s">
        <v>43</v>
      </c>
      <c r="X5" s="17"/>
      <c r="Y5" s="17"/>
      <c r="Z5" s="17"/>
      <c r="AA5" s="21"/>
      <c r="AC5" s="1"/>
      <c r="AD5" s="1"/>
      <c r="AE5" s="1" t="s">
        <v>62</v>
      </c>
      <c r="AJ5" t="s">
        <v>33</v>
      </c>
      <c r="AL5" s="1" t="s">
        <v>44</v>
      </c>
      <c r="AP5" s="21"/>
    </row>
    <row r="6" spans="1:48" x14ac:dyDescent="0.25">
      <c r="A6" t="s">
        <v>2</v>
      </c>
      <c r="C6" t="s">
        <v>3</v>
      </c>
      <c r="D6" t="s">
        <v>4</v>
      </c>
      <c r="E6" t="s">
        <v>10</v>
      </c>
      <c r="F6" t="s">
        <v>7</v>
      </c>
      <c r="H6" t="s">
        <v>9</v>
      </c>
      <c r="I6" t="s">
        <v>1</v>
      </c>
      <c r="J6" t="s">
        <v>10</v>
      </c>
      <c r="K6" t="s">
        <v>7</v>
      </c>
      <c r="N6" s="17" t="s">
        <v>57</v>
      </c>
      <c r="O6" s="17" t="s">
        <v>59</v>
      </c>
      <c r="Q6" s="17" t="s">
        <v>61</v>
      </c>
      <c r="S6" s="17" t="s">
        <v>54</v>
      </c>
      <c r="W6" s="3" t="s">
        <v>63</v>
      </c>
      <c r="X6" s="17"/>
      <c r="Y6" s="17"/>
      <c r="Z6" s="17"/>
      <c r="AA6" s="3" t="s">
        <v>110</v>
      </c>
      <c r="AE6" t="s">
        <v>30</v>
      </c>
      <c r="AF6" t="s">
        <v>31</v>
      </c>
      <c r="AG6" t="s">
        <v>32</v>
      </c>
      <c r="AJ6" t="s">
        <v>14</v>
      </c>
      <c r="AL6" s="3" t="s">
        <v>63</v>
      </c>
      <c r="AM6" s="17"/>
      <c r="AN6" s="17"/>
      <c r="AO6" s="17"/>
      <c r="AP6" s="3" t="s">
        <v>110</v>
      </c>
    </row>
    <row r="7" spans="1:48" x14ac:dyDescent="0.25">
      <c r="D7" t="s">
        <v>5</v>
      </c>
      <c r="I7" t="s">
        <v>0</v>
      </c>
      <c r="N7" s="17" t="s">
        <v>58</v>
      </c>
      <c r="O7" s="17" t="s">
        <v>60</v>
      </c>
      <c r="S7" t="s">
        <v>42</v>
      </c>
      <c r="W7" s="17" t="s">
        <v>22</v>
      </c>
      <c r="X7" s="17" t="s">
        <v>23</v>
      </c>
      <c r="Y7" s="17"/>
      <c r="Z7" s="17"/>
      <c r="AA7" t="s">
        <v>22</v>
      </c>
      <c r="AB7" s="17" t="s">
        <v>23</v>
      </c>
      <c r="AG7" t="s">
        <v>24</v>
      </c>
      <c r="AJ7" s="21"/>
      <c r="AL7" s="17" t="s">
        <v>22</v>
      </c>
      <c r="AM7" s="17" t="s">
        <v>23</v>
      </c>
      <c r="AN7" s="17"/>
      <c r="AO7" s="17"/>
      <c r="AP7" t="s">
        <v>22</v>
      </c>
      <c r="AQ7" s="17" t="s">
        <v>23</v>
      </c>
    </row>
    <row r="8" spans="1:48" x14ac:dyDescent="0.25">
      <c r="A8" s="36">
        <v>1959</v>
      </c>
      <c r="N8" s="36">
        <v>0</v>
      </c>
      <c r="O8" s="36">
        <v>0</v>
      </c>
      <c r="S8" s="21"/>
      <c r="T8" s="21"/>
      <c r="W8" s="36">
        <v>0</v>
      </c>
      <c r="AF8" s="43">
        <v>154</v>
      </c>
      <c r="AL8" s="36">
        <v>0</v>
      </c>
      <c r="AM8" s="17"/>
      <c r="AU8" s="17"/>
    </row>
    <row r="9" spans="1:48" x14ac:dyDescent="0.25">
      <c r="A9">
        <v>1960</v>
      </c>
      <c r="C9" s="2">
        <v>468</v>
      </c>
      <c r="D9" s="2">
        <v>12</v>
      </c>
      <c r="E9" s="2"/>
      <c r="F9" s="2">
        <f t="shared" ref="F9:F33" si="0">+C9+D9+E9</f>
        <v>480</v>
      </c>
      <c r="G9" s="2"/>
      <c r="H9" s="2">
        <v>0</v>
      </c>
      <c r="I9" s="2">
        <v>2</v>
      </c>
      <c r="J9" s="2"/>
      <c r="K9" s="2">
        <f t="shared" ref="K9:K33" si="1">+H9+I9+J9</f>
        <v>2</v>
      </c>
      <c r="L9" s="2"/>
      <c r="M9" s="2"/>
      <c r="N9" s="2">
        <v>478</v>
      </c>
      <c r="O9" s="2">
        <v>478</v>
      </c>
      <c r="Q9" s="5">
        <f t="shared" ref="Q9:Q40" si="2">O9/(H9+I9)</f>
        <v>239</v>
      </c>
      <c r="S9" s="9">
        <f t="shared" ref="S9:S40" si="3">D9/(O8+(C9+E9-H9-I9-J9)/2)*100</f>
        <v>5.1502145922746783</v>
      </c>
      <c r="T9" s="9"/>
      <c r="U9" s="30"/>
      <c r="W9" s="9">
        <f>S9</f>
        <v>5.1502145922746783</v>
      </c>
      <c r="X9" s="9">
        <f>(((1+W9/100)^(1/Y9))-1)*100</f>
        <v>5.1502145922746712</v>
      </c>
      <c r="Y9">
        <f>1</f>
        <v>1</v>
      </c>
      <c r="AF9">
        <v>160</v>
      </c>
      <c r="AG9" s="9">
        <f>AF9/AF8</f>
        <v>1.0389610389610389</v>
      </c>
      <c r="AJ9" s="9">
        <f>(((1+S9/100)/AG9)-1)*100</f>
        <v>1.2070815450643702</v>
      </c>
      <c r="AL9" s="9">
        <f>AJ9</f>
        <v>1.2070815450643702</v>
      </c>
      <c r="AM9" s="9">
        <f>(((1+AL9/100)^(1/AN9))-1)*100</f>
        <v>1.2070815450643702</v>
      </c>
      <c r="AN9">
        <f>1</f>
        <v>1</v>
      </c>
      <c r="AU9" s="2"/>
      <c r="AV9" s="27"/>
    </row>
    <row r="10" spans="1:48" x14ac:dyDescent="0.25">
      <c r="A10">
        <f>+A9+1</f>
        <v>1961</v>
      </c>
      <c r="C10" s="2">
        <v>699</v>
      </c>
      <c r="D10" s="2">
        <v>45</v>
      </c>
      <c r="E10" s="2"/>
      <c r="F10" s="2">
        <f t="shared" si="0"/>
        <v>744</v>
      </c>
      <c r="G10" s="2"/>
      <c r="H10" s="2">
        <v>0</v>
      </c>
      <c r="I10" s="2">
        <v>13</v>
      </c>
      <c r="J10" s="2"/>
      <c r="K10" s="2">
        <f t="shared" si="1"/>
        <v>13</v>
      </c>
      <c r="L10" s="2"/>
      <c r="M10" s="2"/>
      <c r="N10" s="2">
        <v>1209</v>
      </c>
      <c r="O10" s="2">
        <v>1209</v>
      </c>
      <c r="P10" s="29">
        <f>O9+F10-K10-O10</f>
        <v>0</v>
      </c>
      <c r="Q10" s="5">
        <f t="shared" si="2"/>
        <v>93</v>
      </c>
      <c r="R10" s="2"/>
      <c r="S10" s="9">
        <f t="shared" si="3"/>
        <v>5.4811205846528628</v>
      </c>
      <c r="T10" s="9"/>
      <c r="U10" s="30"/>
      <c r="W10" s="5">
        <f>((1+S10/100)*(1+W9/100)-1)*100</f>
        <v>10.913624649098509</v>
      </c>
      <c r="X10" s="9">
        <f>(((1+W10/100)^(1/Y10))-1)*100</f>
        <v>5.3155376234193197</v>
      </c>
      <c r="Y10" s="11">
        <f>Y9+1</f>
        <v>2</v>
      </c>
      <c r="Z10" s="9"/>
      <c r="AF10">
        <v>164</v>
      </c>
      <c r="AG10" s="9">
        <f>AF10/AF9</f>
        <v>1.0249999999999999</v>
      </c>
      <c r="AJ10" s="9">
        <f t="shared" ref="AJ10:AJ59" si="4">(((1+S10/100)/AG10)-1)*100</f>
        <v>2.9084103264906069</v>
      </c>
      <c r="AL10" s="5">
        <f>((1+AJ10/100)*(1+AL9/100)-1)*100</f>
        <v>4.1505987558607904</v>
      </c>
      <c r="AM10" s="9">
        <f>(((1+AL10/100)^(1/AN10))-1)*100</f>
        <v>2.0542006758471398</v>
      </c>
      <c r="AN10" s="11">
        <f>AN9+1</f>
        <v>2</v>
      </c>
      <c r="AU10" s="2"/>
      <c r="AV10" s="27"/>
    </row>
    <row r="11" spans="1:48" x14ac:dyDescent="0.25">
      <c r="A11">
        <f t="shared" ref="A11:A34" si="5">+A10+1</f>
        <v>1962</v>
      </c>
      <c r="C11" s="2">
        <v>1346</v>
      </c>
      <c r="D11" s="2">
        <v>106</v>
      </c>
      <c r="E11" s="2"/>
      <c r="F11" s="2">
        <f t="shared" si="0"/>
        <v>1452</v>
      </c>
      <c r="G11" s="2"/>
      <c r="H11" s="2">
        <v>0</v>
      </c>
      <c r="I11" s="2">
        <v>18</v>
      </c>
      <c r="J11" s="2"/>
      <c r="K11" s="2">
        <f t="shared" si="1"/>
        <v>18</v>
      </c>
      <c r="L11" s="2"/>
      <c r="M11" s="2"/>
      <c r="N11" s="2">
        <v>2643</v>
      </c>
      <c r="O11" s="2">
        <v>2643</v>
      </c>
      <c r="P11" s="29">
        <f t="shared" ref="P11:P69" si="6">O10+F11-K11-O11</f>
        <v>0</v>
      </c>
      <c r="Q11" s="5">
        <f t="shared" si="2"/>
        <v>146.83333333333334</v>
      </c>
      <c r="R11" s="2"/>
      <c r="S11" s="9">
        <f t="shared" si="3"/>
        <v>5.6593699946609721</v>
      </c>
      <c r="T11" s="9"/>
      <c r="U11" s="30"/>
      <c r="W11" s="5">
        <f t="shared" ref="W11:W59" si="7">((1+S11/100)*(1+W10/100)-1)*100</f>
        <v>17.190637042480471</v>
      </c>
      <c r="X11" s="9">
        <f t="shared" ref="X11:X59" si="8">(((1+W11/100)^(1/Y11))-1)*100</f>
        <v>5.4300239131155337</v>
      </c>
      <c r="Y11" s="11">
        <f t="shared" ref="Y11:Y69" si="9">Y10+1</f>
        <v>3</v>
      </c>
      <c r="Z11" s="9"/>
      <c r="AF11">
        <v>172</v>
      </c>
      <c r="AG11" s="9">
        <f t="shared" ref="AG11:AG31" si="10">AF11/AF10</f>
        <v>1.0487804878048781</v>
      </c>
      <c r="AJ11" s="9">
        <f t="shared" si="4"/>
        <v>0.74498069258370769</v>
      </c>
      <c r="AL11" s="5">
        <f t="shared" ref="AL11:AL59" si="11">((1+AJ11/100)*(1+AL10/100)-1)*100</f>
        <v>4.9265006078022866</v>
      </c>
      <c r="AM11" s="9">
        <f t="shared" ref="AM11:AM59" si="12">(((1+AL11/100)^(1/AN11))-1)*100</f>
        <v>1.6159144268349079</v>
      </c>
      <c r="AN11" s="11">
        <f t="shared" ref="AN11:AN69" si="13">AN10+1</f>
        <v>3</v>
      </c>
      <c r="AU11" s="2"/>
      <c r="AV11" s="27"/>
    </row>
    <row r="12" spans="1:48" x14ac:dyDescent="0.25">
      <c r="A12">
        <f t="shared" si="5"/>
        <v>1963</v>
      </c>
      <c r="C12" s="2">
        <v>1891</v>
      </c>
      <c r="D12" s="2">
        <v>194</v>
      </c>
      <c r="E12" s="2"/>
      <c r="F12" s="2">
        <f t="shared" si="0"/>
        <v>2085</v>
      </c>
      <c r="G12" s="2"/>
      <c r="H12" s="2">
        <v>36</v>
      </c>
      <c r="I12" s="2">
        <v>24</v>
      </c>
      <c r="J12" s="2"/>
      <c r="K12" s="2">
        <f t="shared" si="1"/>
        <v>60</v>
      </c>
      <c r="L12" s="2"/>
      <c r="M12" s="2"/>
      <c r="N12" s="2">
        <v>4668</v>
      </c>
      <c r="O12" s="2">
        <v>4668</v>
      </c>
      <c r="P12" s="29">
        <f t="shared" si="6"/>
        <v>0</v>
      </c>
      <c r="Q12" s="5">
        <f t="shared" si="2"/>
        <v>77.8</v>
      </c>
      <c r="R12" s="2"/>
      <c r="S12" s="9">
        <f t="shared" si="3"/>
        <v>5.4517352817198255</v>
      </c>
      <c r="T12" s="9"/>
      <c r="U12" s="30"/>
      <c r="W12" s="5">
        <f t="shared" si="7"/>
        <v>23.579560348997596</v>
      </c>
      <c r="X12" s="9">
        <f t="shared" si="8"/>
        <v>5.4354513361554613</v>
      </c>
      <c r="Y12" s="11">
        <f t="shared" si="9"/>
        <v>4</v>
      </c>
      <c r="Z12" s="9"/>
      <c r="AF12">
        <v>178</v>
      </c>
      <c r="AG12" s="9">
        <f t="shared" si="10"/>
        <v>1.0348837209302326</v>
      </c>
      <c r="AJ12" s="9">
        <f t="shared" si="4"/>
        <v>1.897182407055098</v>
      </c>
      <c r="AL12" s="5">
        <f t="shared" si="11"/>
        <v>6.9171477176720675</v>
      </c>
      <c r="AM12" s="9">
        <f t="shared" si="12"/>
        <v>1.6861585517381483</v>
      </c>
      <c r="AN12" s="11">
        <f t="shared" si="13"/>
        <v>4</v>
      </c>
      <c r="AU12" s="2"/>
      <c r="AV12" s="27"/>
    </row>
    <row r="13" spans="1:48" x14ac:dyDescent="0.25">
      <c r="A13">
        <f t="shared" si="5"/>
        <v>1964</v>
      </c>
      <c r="C13" s="2">
        <v>2442</v>
      </c>
      <c r="D13" s="2">
        <v>316</v>
      </c>
      <c r="E13" s="2"/>
      <c r="F13" s="2">
        <f t="shared" si="0"/>
        <v>2758</v>
      </c>
      <c r="G13" s="2"/>
      <c r="H13" s="2">
        <v>102</v>
      </c>
      <c r="I13" s="2">
        <v>27</v>
      </c>
      <c r="J13" s="2"/>
      <c r="K13" s="2">
        <f t="shared" si="1"/>
        <v>129</v>
      </c>
      <c r="L13" s="2"/>
      <c r="M13" s="2"/>
      <c r="N13" s="2">
        <v>7297</v>
      </c>
      <c r="O13" s="2">
        <v>7297</v>
      </c>
      <c r="P13" s="29">
        <f t="shared" si="6"/>
        <v>0</v>
      </c>
      <c r="Q13" s="5">
        <f t="shared" si="2"/>
        <v>56.565891472868216</v>
      </c>
      <c r="R13" s="2"/>
      <c r="S13" s="9">
        <f t="shared" si="3"/>
        <v>5.4253583998626489</v>
      </c>
      <c r="T13" s="9"/>
      <c r="U13" s="30"/>
      <c r="W13" s="5">
        <f t="shared" si="7"/>
        <v>30.284194406905264</v>
      </c>
      <c r="X13" s="9">
        <f t="shared" si="8"/>
        <v>5.4334326715997694</v>
      </c>
      <c r="Y13" s="11">
        <f t="shared" si="9"/>
        <v>5</v>
      </c>
      <c r="Z13" s="9"/>
      <c r="AF13">
        <v>184</v>
      </c>
      <c r="AG13" s="9">
        <f t="shared" si="10"/>
        <v>1.0337078651685394</v>
      </c>
      <c r="AJ13" s="9">
        <f t="shared" si="4"/>
        <v>1.9875749737801707</v>
      </c>
      <c r="AL13" s="5">
        <f t="shared" si="11"/>
        <v>9.0422061883880911</v>
      </c>
      <c r="AM13" s="9">
        <f t="shared" si="12"/>
        <v>1.746370486720572</v>
      </c>
      <c r="AN13" s="11">
        <f t="shared" si="13"/>
        <v>5</v>
      </c>
      <c r="AU13" s="2"/>
      <c r="AV13" s="27"/>
    </row>
    <row r="14" spans="1:48" x14ac:dyDescent="0.25">
      <c r="A14">
        <f t="shared" si="5"/>
        <v>1965</v>
      </c>
      <c r="C14" s="2">
        <v>2905</v>
      </c>
      <c r="D14" s="2">
        <v>489</v>
      </c>
      <c r="E14" s="2"/>
      <c r="F14" s="2">
        <f t="shared" si="0"/>
        <v>3394</v>
      </c>
      <c r="G14" s="2"/>
      <c r="H14" s="2">
        <v>153</v>
      </c>
      <c r="I14" s="2">
        <v>37</v>
      </c>
      <c r="J14" s="2"/>
      <c r="K14" s="2">
        <f t="shared" si="1"/>
        <v>190</v>
      </c>
      <c r="L14" s="2"/>
      <c r="M14" s="2"/>
      <c r="N14" s="2">
        <v>10501</v>
      </c>
      <c r="O14" s="2">
        <v>10501</v>
      </c>
      <c r="P14" s="29">
        <f t="shared" si="6"/>
        <v>0</v>
      </c>
      <c r="Q14" s="5">
        <f t="shared" si="2"/>
        <v>55.268421052631581</v>
      </c>
      <c r="R14" s="2"/>
      <c r="S14" s="9">
        <f t="shared" si="3"/>
        <v>5.6502397596626039</v>
      </c>
      <c r="T14" s="9"/>
      <c r="U14" s="30"/>
      <c r="W14" s="5">
        <f t="shared" si="7"/>
        <v>37.645563759840364</v>
      </c>
      <c r="X14" s="9">
        <f t="shared" si="8"/>
        <v>5.4695362647587453</v>
      </c>
      <c r="Y14" s="11">
        <f t="shared" si="9"/>
        <v>6</v>
      </c>
      <c r="Z14" s="9"/>
      <c r="AF14">
        <v>195</v>
      </c>
      <c r="AG14" s="9">
        <f t="shared" si="10"/>
        <v>1.0597826086956521</v>
      </c>
      <c r="AJ14" s="9">
        <f t="shared" si="4"/>
        <v>-0.30951735498501165</v>
      </c>
      <c r="AL14" s="5">
        <f t="shared" si="11"/>
        <v>8.7047016359764982</v>
      </c>
      <c r="AM14" s="9">
        <f t="shared" si="12"/>
        <v>1.4008015618968805</v>
      </c>
      <c r="AN14" s="11">
        <f t="shared" si="13"/>
        <v>6</v>
      </c>
      <c r="AU14" s="2"/>
      <c r="AV14" s="27"/>
    </row>
    <row r="15" spans="1:48" x14ac:dyDescent="0.25">
      <c r="A15">
        <f t="shared" si="5"/>
        <v>1966</v>
      </c>
      <c r="C15" s="2">
        <v>3484</v>
      </c>
      <c r="D15" s="2">
        <v>712</v>
      </c>
      <c r="E15" s="2"/>
      <c r="F15" s="2">
        <f t="shared" si="0"/>
        <v>4196</v>
      </c>
      <c r="G15" s="2"/>
      <c r="H15" s="2">
        <v>286</v>
      </c>
      <c r="I15" s="2">
        <v>49</v>
      </c>
      <c r="J15" s="2"/>
      <c r="K15" s="2">
        <f t="shared" si="1"/>
        <v>335</v>
      </c>
      <c r="L15" s="2"/>
      <c r="M15" s="2"/>
      <c r="N15" s="2">
        <v>14362</v>
      </c>
      <c r="O15" s="2">
        <v>14362</v>
      </c>
      <c r="P15" s="29">
        <f t="shared" si="6"/>
        <v>0</v>
      </c>
      <c r="Q15" s="5">
        <f t="shared" si="2"/>
        <v>42.871641791044773</v>
      </c>
      <c r="R15" s="2"/>
      <c r="S15" s="9">
        <f t="shared" si="3"/>
        <v>5.8962361806964516</v>
      </c>
      <c r="T15" s="9"/>
      <c r="U15" s="30"/>
      <c r="W15" s="5">
        <f t="shared" si="7"/>
        <v>45.76147129137167</v>
      </c>
      <c r="X15" s="9">
        <f t="shared" si="8"/>
        <v>5.5303879672732092</v>
      </c>
      <c r="Y15" s="11">
        <f t="shared" si="9"/>
        <v>7</v>
      </c>
      <c r="Z15" s="9"/>
      <c r="AF15">
        <v>206</v>
      </c>
      <c r="AG15" s="9">
        <f t="shared" si="10"/>
        <v>1.0564102564102564</v>
      </c>
      <c r="AJ15" s="9">
        <f t="shared" si="4"/>
        <v>0.24158279240684699</v>
      </c>
      <c r="AL15" s="5">
        <f t="shared" si="11"/>
        <v>8.9673134896662177</v>
      </c>
      <c r="AM15" s="9">
        <f t="shared" si="12"/>
        <v>1.2343817293706039</v>
      </c>
      <c r="AN15" s="11">
        <f t="shared" si="13"/>
        <v>7</v>
      </c>
      <c r="AU15" s="2"/>
      <c r="AV15" s="27"/>
    </row>
    <row r="16" spans="1:48" x14ac:dyDescent="0.25">
      <c r="A16">
        <f t="shared" si="5"/>
        <v>1967</v>
      </c>
      <c r="C16" s="2">
        <v>4161</v>
      </c>
      <c r="D16" s="2">
        <v>996</v>
      </c>
      <c r="E16" s="2"/>
      <c r="F16" s="2">
        <f t="shared" si="0"/>
        <v>5157</v>
      </c>
      <c r="G16" s="2"/>
      <c r="H16" s="2">
        <v>433</v>
      </c>
      <c r="I16" s="2">
        <v>58</v>
      </c>
      <c r="J16" s="2"/>
      <c r="K16" s="2">
        <f t="shared" si="1"/>
        <v>491</v>
      </c>
      <c r="L16" s="2"/>
      <c r="M16" s="2"/>
      <c r="N16" s="2">
        <v>19028</v>
      </c>
      <c r="O16" s="2">
        <v>19028</v>
      </c>
      <c r="P16" s="29">
        <f t="shared" si="6"/>
        <v>0</v>
      </c>
      <c r="Q16" s="5">
        <f t="shared" si="2"/>
        <v>38.753564154786147</v>
      </c>
      <c r="R16" s="2"/>
      <c r="S16" s="9">
        <f t="shared" si="3"/>
        <v>6.1492869049824037</v>
      </c>
      <c r="T16" s="9"/>
      <c r="U16" s="30"/>
      <c r="W16" s="5">
        <f t="shared" si="7"/>
        <v>54.724762358001655</v>
      </c>
      <c r="X16" s="9">
        <f t="shared" si="8"/>
        <v>5.6075525637991452</v>
      </c>
      <c r="Y16" s="11">
        <f t="shared" si="9"/>
        <v>8</v>
      </c>
      <c r="Z16" s="9"/>
      <c r="AF16">
        <v>212</v>
      </c>
      <c r="AG16" s="9">
        <f t="shared" si="10"/>
        <v>1.029126213592233</v>
      </c>
      <c r="AJ16" s="9">
        <f t="shared" si="4"/>
        <v>3.1450618038979972</v>
      </c>
      <c r="AL16" s="5">
        <f t="shared" si="11"/>
        <v>12.394402844963492</v>
      </c>
      <c r="AM16" s="9">
        <f t="shared" si="12"/>
        <v>1.4712675591760815</v>
      </c>
      <c r="AN16" s="11">
        <f t="shared" si="13"/>
        <v>8</v>
      </c>
      <c r="AU16" s="2"/>
      <c r="AV16" s="27"/>
    </row>
    <row r="17" spans="1:48" x14ac:dyDescent="0.25">
      <c r="A17">
        <f t="shared" si="5"/>
        <v>1968</v>
      </c>
      <c r="C17" s="2">
        <v>5195</v>
      </c>
      <c r="D17" s="2">
        <v>1318</v>
      </c>
      <c r="E17" s="2"/>
      <c r="F17" s="2">
        <f t="shared" si="0"/>
        <v>6513</v>
      </c>
      <c r="G17" s="2"/>
      <c r="H17" s="2">
        <v>606</v>
      </c>
      <c r="I17" s="2">
        <v>59</v>
      </c>
      <c r="J17" s="2"/>
      <c r="K17" s="2">
        <f t="shared" si="1"/>
        <v>665</v>
      </c>
      <c r="L17" s="2"/>
      <c r="M17" s="2"/>
      <c r="N17" s="2">
        <v>24876</v>
      </c>
      <c r="O17" s="2">
        <v>24876</v>
      </c>
      <c r="P17" s="29">
        <f t="shared" si="6"/>
        <v>0</v>
      </c>
      <c r="Q17" s="5">
        <f t="shared" si="2"/>
        <v>37.407518796992484</v>
      </c>
      <c r="R17" s="2"/>
      <c r="S17" s="9">
        <f t="shared" si="3"/>
        <v>6.1898276428873338</v>
      </c>
      <c r="T17" s="9"/>
      <c r="U17" s="30"/>
      <c r="W17" s="5">
        <f t="shared" si="7"/>
        <v>64.301958468828985</v>
      </c>
      <c r="X17" s="9">
        <f t="shared" si="8"/>
        <v>5.6720918038923651</v>
      </c>
      <c r="Y17" s="11">
        <f t="shared" si="9"/>
        <v>9</v>
      </c>
      <c r="Z17" s="9"/>
      <c r="AF17">
        <v>217</v>
      </c>
      <c r="AG17" s="9">
        <f t="shared" si="10"/>
        <v>1.0235849056603774</v>
      </c>
      <c r="AJ17" s="9">
        <f t="shared" si="4"/>
        <v>3.7430574207009792</v>
      </c>
      <c r="AL17" s="5">
        <f t="shared" si="11"/>
        <v>16.601389881104446</v>
      </c>
      <c r="AM17" s="9">
        <f t="shared" si="12"/>
        <v>1.7212117958023576</v>
      </c>
      <c r="AN17" s="11">
        <f t="shared" si="13"/>
        <v>9</v>
      </c>
      <c r="AU17" s="2"/>
      <c r="AV17" s="27"/>
    </row>
    <row r="18" spans="1:48" x14ac:dyDescent="0.25">
      <c r="A18">
        <f t="shared" si="5"/>
        <v>1969</v>
      </c>
      <c r="C18" s="2">
        <v>5643</v>
      </c>
      <c r="D18" s="2">
        <v>1719</v>
      </c>
      <c r="E18" s="2"/>
      <c r="F18" s="2">
        <f t="shared" si="0"/>
        <v>7362</v>
      </c>
      <c r="G18" s="2"/>
      <c r="H18" s="2">
        <v>833</v>
      </c>
      <c r="I18" s="2">
        <v>62</v>
      </c>
      <c r="J18" s="2"/>
      <c r="K18" s="2">
        <f t="shared" si="1"/>
        <v>895</v>
      </c>
      <c r="L18" s="2"/>
      <c r="M18" s="2"/>
      <c r="N18" s="2">
        <v>31343</v>
      </c>
      <c r="O18" s="2">
        <v>31343</v>
      </c>
      <c r="P18" s="29">
        <f t="shared" si="6"/>
        <v>0</v>
      </c>
      <c r="Q18" s="5">
        <f t="shared" si="2"/>
        <v>35.020111731843578</v>
      </c>
      <c r="R18" s="2"/>
      <c r="S18" s="9">
        <f t="shared" si="3"/>
        <v>6.3082568807339454</v>
      </c>
      <c r="T18" s="9"/>
      <c r="U18" s="30"/>
      <c r="W18" s="5">
        <f t="shared" si="7"/>
        <v>74.666548069119543</v>
      </c>
      <c r="X18" s="9">
        <f t="shared" si="8"/>
        <v>5.7355366235359417</v>
      </c>
      <c r="Y18" s="11">
        <f t="shared" si="9"/>
        <v>10</v>
      </c>
      <c r="Z18" s="9"/>
      <c r="AF18">
        <v>225</v>
      </c>
      <c r="AG18" s="9">
        <f t="shared" si="10"/>
        <v>1.0368663594470047</v>
      </c>
      <c r="AJ18" s="9">
        <f t="shared" si="4"/>
        <v>2.528407747196737</v>
      </c>
      <c r="AL18" s="5">
        <f t="shared" si="11"/>
        <v>19.549548456197364</v>
      </c>
      <c r="AM18" s="9">
        <f t="shared" si="12"/>
        <v>1.8016445881807286</v>
      </c>
      <c r="AN18" s="11">
        <f t="shared" si="13"/>
        <v>10</v>
      </c>
      <c r="AU18" s="2"/>
      <c r="AV18" s="27"/>
    </row>
    <row r="19" spans="1:48" x14ac:dyDescent="0.25">
      <c r="A19">
        <f t="shared" si="5"/>
        <v>1970</v>
      </c>
      <c r="C19" s="2">
        <v>6100</v>
      </c>
      <c r="D19" s="2">
        <v>2215</v>
      </c>
      <c r="E19" s="2"/>
      <c r="F19" s="2">
        <f t="shared" si="0"/>
        <v>8315</v>
      </c>
      <c r="G19" s="2"/>
      <c r="H19" s="2">
        <v>1166</v>
      </c>
      <c r="I19" s="2">
        <v>74</v>
      </c>
      <c r="J19" s="2"/>
      <c r="K19" s="2">
        <f t="shared" si="1"/>
        <v>1240</v>
      </c>
      <c r="L19" s="2"/>
      <c r="M19" s="2"/>
      <c r="N19" s="2">
        <v>38418</v>
      </c>
      <c r="O19" s="2">
        <v>38418</v>
      </c>
      <c r="P19" s="29">
        <f t="shared" si="6"/>
        <v>0</v>
      </c>
      <c r="Q19" s="5">
        <f t="shared" si="2"/>
        <v>30.982258064516127</v>
      </c>
      <c r="R19" s="2"/>
      <c r="S19" s="9">
        <f t="shared" si="3"/>
        <v>6.5584934711159812</v>
      </c>
      <c r="T19" s="9"/>
      <c r="U19" s="30"/>
      <c r="W19" s="5">
        <f t="shared" si="7"/>
        <v>86.122042220456436</v>
      </c>
      <c r="X19" s="9">
        <f t="shared" si="8"/>
        <v>5.8100875079954983</v>
      </c>
      <c r="Y19" s="11">
        <f t="shared" si="9"/>
        <v>11</v>
      </c>
      <c r="Z19" s="9"/>
      <c r="AF19">
        <v>243.39</v>
      </c>
      <c r="AG19" s="9">
        <f t="shared" si="10"/>
        <v>1.0817333333333332</v>
      </c>
      <c r="AJ19" s="9">
        <f t="shared" si="4"/>
        <v>-1.4928262007432469</v>
      </c>
      <c r="AL19" s="5">
        <f t="shared" si="11"/>
        <v>17.764881473973016</v>
      </c>
      <c r="AM19" s="9">
        <f t="shared" si="12"/>
        <v>1.4976487653040493</v>
      </c>
      <c r="AN19" s="11">
        <f t="shared" si="13"/>
        <v>11</v>
      </c>
      <c r="AU19" s="2"/>
      <c r="AV19" s="27"/>
    </row>
    <row r="20" spans="1:48" x14ac:dyDescent="0.25">
      <c r="A20">
        <f t="shared" si="5"/>
        <v>1971</v>
      </c>
      <c r="C20" s="2">
        <v>7264</v>
      </c>
      <c r="D20" s="2">
        <v>2765</v>
      </c>
      <c r="E20" s="2"/>
      <c r="F20" s="2">
        <f t="shared" si="0"/>
        <v>10029</v>
      </c>
      <c r="G20" s="2"/>
      <c r="H20" s="2">
        <v>1660</v>
      </c>
      <c r="I20" s="2">
        <v>62</v>
      </c>
      <c r="J20" s="2"/>
      <c r="K20" s="2">
        <f t="shared" si="1"/>
        <v>1722</v>
      </c>
      <c r="L20" s="2"/>
      <c r="M20" s="2"/>
      <c r="N20" s="2">
        <v>46725</v>
      </c>
      <c r="O20" s="2">
        <v>46725</v>
      </c>
      <c r="P20" s="29">
        <f t="shared" si="6"/>
        <v>0</v>
      </c>
      <c r="Q20" s="5">
        <f t="shared" si="2"/>
        <v>27.134146341463413</v>
      </c>
      <c r="R20" s="2"/>
      <c r="S20" s="9">
        <f t="shared" si="3"/>
        <v>6.7129573429799221</v>
      </c>
      <c r="T20" s="9"/>
      <c r="U20" s="30"/>
      <c r="W20" s="5">
        <f t="shared" si="7"/>
        <v>98.616335520598767</v>
      </c>
      <c r="X20" s="9">
        <f t="shared" si="8"/>
        <v>5.8850340004513946</v>
      </c>
      <c r="Y20" s="11">
        <f t="shared" si="9"/>
        <v>12</v>
      </c>
      <c r="Z20" s="9"/>
      <c r="AF20">
        <v>260.69</v>
      </c>
      <c r="AG20" s="9">
        <f t="shared" si="10"/>
        <v>1.0710793376884835</v>
      </c>
      <c r="AJ20" s="9">
        <f t="shared" si="4"/>
        <v>-0.3687648636009011</v>
      </c>
      <c r="AL20" s="5">
        <f t="shared" si="11"/>
        <v>17.330605969435766</v>
      </c>
      <c r="AM20" s="9">
        <f t="shared" si="12"/>
        <v>1.340787814960942</v>
      </c>
      <c r="AN20" s="11">
        <f t="shared" si="13"/>
        <v>12</v>
      </c>
      <c r="AU20" s="2"/>
      <c r="AV20" s="27"/>
    </row>
    <row r="21" spans="1:48" x14ac:dyDescent="0.25">
      <c r="A21">
        <f t="shared" si="5"/>
        <v>1972</v>
      </c>
      <c r="C21" s="2">
        <v>8489</v>
      </c>
      <c r="D21" s="2">
        <v>3394</v>
      </c>
      <c r="E21" s="2"/>
      <c r="F21" s="2">
        <f t="shared" si="0"/>
        <v>11883</v>
      </c>
      <c r="G21" s="2"/>
      <c r="H21" s="2">
        <v>2211</v>
      </c>
      <c r="I21" s="2">
        <v>87</v>
      </c>
      <c r="J21" s="2"/>
      <c r="K21" s="2">
        <f t="shared" si="1"/>
        <v>2298</v>
      </c>
      <c r="L21" s="2"/>
      <c r="M21" s="2"/>
      <c r="N21" s="2">
        <v>56310</v>
      </c>
      <c r="O21" s="2">
        <v>56310</v>
      </c>
      <c r="P21" s="29">
        <f t="shared" si="6"/>
        <v>0</v>
      </c>
      <c r="Q21" s="5">
        <f t="shared" si="2"/>
        <v>24.503916449086162</v>
      </c>
      <c r="R21" s="2"/>
      <c r="S21" s="9">
        <f t="shared" si="3"/>
        <v>6.812456719623448</v>
      </c>
      <c r="T21" s="9"/>
      <c r="U21" s="30"/>
      <c r="W21" s="5">
        <f t="shared" si="7"/>
        <v>112.14698741604164</v>
      </c>
      <c r="X21" s="9">
        <f t="shared" si="8"/>
        <v>5.9560874250654816</v>
      </c>
      <c r="Y21" s="11">
        <f t="shared" si="9"/>
        <v>13</v>
      </c>
      <c r="Z21" s="9"/>
      <c r="AF21">
        <v>276.98</v>
      </c>
      <c r="AG21" s="9">
        <f t="shared" si="10"/>
        <v>1.062488012581994</v>
      </c>
      <c r="AJ21" s="9">
        <f t="shared" si="4"/>
        <v>0.53050524311732961</v>
      </c>
      <c r="AL21" s="5">
        <f t="shared" si="11"/>
        <v>17.953050985884957</v>
      </c>
      <c r="AM21" s="9">
        <f t="shared" si="12"/>
        <v>1.2782271870474649</v>
      </c>
      <c r="AN21" s="11">
        <f t="shared" si="13"/>
        <v>13</v>
      </c>
      <c r="AU21" s="2"/>
      <c r="AV21" s="27"/>
    </row>
    <row r="22" spans="1:48" x14ac:dyDescent="0.25">
      <c r="A22">
        <f t="shared" si="5"/>
        <v>1973</v>
      </c>
      <c r="C22" s="2">
        <v>8989</v>
      </c>
      <c r="D22" s="2">
        <v>4075</v>
      </c>
      <c r="E22" s="2"/>
      <c r="F22" s="2">
        <f t="shared" si="0"/>
        <v>13064</v>
      </c>
      <c r="G22" s="2"/>
      <c r="H22" s="2">
        <v>2944</v>
      </c>
      <c r="I22" s="2">
        <v>94</v>
      </c>
      <c r="J22" s="2"/>
      <c r="K22" s="2">
        <f t="shared" si="1"/>
        <v>3038</v>
      </c>
      <c r="L22" s="2"/>
      <c r="M22" s="2"/>
      <c r="N22" s="2">
        <v>66336</v>
      </c>
      <c r="O22" s="2">
        <v>66336</v>
      </c>
      <c r="P22" s="29">
        <f t="shared" si="6"/>
        <v>0</v>
      </c>
      <c r="Q22" s="5">
        <f t="shared" si="2"/>
        <v>21.835418038183015</v>
      </c>
      <c r="R22" s="2"/>
      <c r="S22" s="9">
        <f t="shared" si="3"/>
        <v>6.8735188199475425</v>
      </c>
      <c r="T22" s="9"/>
      <c r="U22" s="30"/>
      <c r="W22" s="5">
        <f t="shared" si="7"/>
        <v>126.72895052203499</v>
      </c>
      <c r="X22" s="9">
        <f t="shared" si="8"/>
        <v>6.0213562580237356</v>
      </c>
      <c r="Y22" s="11">
        <f t="shared" si="9"/>
        <v>14</v>
      </c>
      <c r="Z22" s="9"/>
      <c r="AF22">
        <v>297.8</v>
      </c>
      <c r="AG22" s="9">
        <f t="shared" si="10"/>
        <v>1.0751678821575565</v>
      </c>
      <c r="AJ22" s="9">
        <f t="shared" si="4"/>
        <v>-0.59829669996955825</v>
      </c>
      <c r="AL22" s="5">
        <f t="shared" si="11"/>
        <v>17.24734177432299</v>
      </c>
      <c r="AM22" s="9">
        <f t="shared" si="12"/>
        <v>1.1430227900143919</v>
      </c>
      <c r="AN22" s="11">
        <f t="shared" si="13"/>
        <v>14</v>
      </c>
      <c r="AU22" s="2"/>
      <c r="AV22" s="27"/>
    </row>
    <row r="23" spans="1:48" x14ac:dyDescent="0.25">
      <c r="A23">
        <f t="shared" si="5"/>
        <v>1974</v>
      </c>
      <c r="C23" s="2">
        <v>9765</v>
      </c>
      <c r="D23" s="2">
        <v>4855</v>
      </c>
      <c r="E23" s="2"/>
      <c r="F23" s="2">
        <f t="shared" si="0"/>
        <v>14620</v>
      </c>
      <c r="G23" s="2"/>
      <c r="H23" s="2">
        <v>3881</v>
      </c>
      <c r="I23" s="2">
        <v>111</v>
      </c>
      <c r="J23" s="2"/>
      <c r="K23" s="2">
        <f t="shared" si="1"/>
        <v>3992</v>
      </c>
      <c r="L23" s="2"/>
      <c r="M23" s="2"/>
      <c r="N23" s="2">
        <v>76963</v>
      </c>
      <c r="O23" s="2">
        <v>76963</v>
      </c>
      <c r="P23" s="29">
        <f t="shared" si="6"/>
        <v>1</v>
      </c>
      <c r="Q23" s="5">
        <f t="shared" si="2"/>
        <v>19.27930861723447</v>
      </c>
      <c r="R23" s="2"/>
      <c r="S23" s="9">
        <f t="shared" si="3"/>
        <v>7.0136155151865358</v>
      </c>
      <c r="T23" s="9"/>
      <c r="U23" s="30"/>
      <c r="W23" s="5">
        <f t="shared" si="7"/>
        <v>142.63084737326804</v>
      </c>
      <c r="X23" s="9">
        <f t="shared" si="8"/>
        <v>6.0872196892706398</v>
      </c>
      <c r="Y23" s="11">
        <f t="shared" si="9"/>
        <v>15</v>
      </c>
      <c r="Z23" s="9"/>
      <c r="AF23">
        <v>332.28</v>
      </c>
      <c r="AG23" s="9">
        <f t="shared" si="10"/>
        <v>1.1157824042981865</v>
      </c>
      <c r="AJ23" s="9">
        <f t="shared" si="4"/>
        <v>-4.0909633428958925</v>
      </c>
      <c r="AL23" s="5">
        <f t="shared" si="11"/>
        <v>12.450796001815579</v>
      </c>
      <c r="AM23" s="9">
        <f t="shared" si="12"/>
        <v>0.78537179875459717</v>
      </c>
      <c r="AN23" s="11">
        <f t="shared" si="13"/>
        <v>15</v>
      </c>
      <c r="AU23" s="2"/>
      <c r="AV23" s="27"/>
    </row>
    <row r="24" spans="1:48" x14ac:dyDescent="0.25">
      <c r="A24">
        <f t="shared" si="5"/>
        <v>1975</v>
      </c>
      <c r="C24" s="2">
        <v>10946</v>
      </c>
      <c r="D24" s="2">
        <v>5789</v>
      </c>
      <c r="E24" s="2"/>
      <c r="F24" s="2">
        <f t="shared" si="0"/>
        <v>16735</v>
      </c>
      <c r="G24" s="2"/>
      <c r="H24" s="2">
        <v>4998</v>
      </c>
      <c r="I24" s="2">
        <v>131</v>
      </c>
      <c r="J24" s="2"/>
      <c r="K24" s="2">
        <f t="shared" si="1"/>
        <v>5129</v>
      </c>
      <c r="L24" s="2"/>
      <c r="M24" s="2"/>
      <c r="N24" s="2">
        <v>88569</v>
      </c>
      <c r="O24" s="2">
        <v>88569</v>
      </c>
      <c r="P24" s="29">
        <f t="shared" si="6"/>
        <v>0</v>
      </c>
      <c r="Q24" s="5">
        <f t="shared" si="2"/>
        <v>17.268278416845391</v>
      </c>
      <c r="R24" s="2"/>
      <c r="S24" s="9">
        <f t="shared" si="3"/>
        <v>7.2478919264067905</v>
      </c>
      <c r="T24" s="9"/>
      <c r="U24" s="30"/>
      <c r="W24" s="5">
        <f t="shared" si="7"/>
        <v>160.21646897100749</v>
      </c>
      <c r="X24" s="9">
        <f t="shared" si="8"/>
        <v>6.1593922823334868</v>
      </c>
      <c r="Y24" s="11">
        <f t="shared" si="9"/>
        <v>16</v>
      </c>
      <c r="Z24" s="9"/>
      <c r="AF24">
        <v>361.79</v>
      </c>
      <c r="AG24" s="9">
        <f t="shared" si="10"/>
        <v>1.0888106416275432</v>
      </c>
      <c r="AJ24" s="9">
        <f t="shared" si="4"/>
        <v>-1.4999598404974113</v>
      </c>
      <c r="AL24" s="5">
        <f t="shared" si="11"/>
        <v>10.76407922146867</v>
      </c>
      <c r="AM24" s="9">
        <f t="shared" si="12"/>
        <v>0.64099778504149718</v>
      </c>
      <c r="AN24" s="11">
        <f t="shared" si="13"/>
        <v>16</v>
      </c>
      <c r="AU24" s="2"/>
      <c r="AV24" s="27"/>
    </row>
    <row r="25" spans="1:48" x14ac:dyDescent="0.25">
      <c r="A25">
        <f t="shared" si="5"/>
        <v>1976</v>
      </c>
      <c r="C25" s="2">
        <v>14097</v>
      </c>
      <c r="D25" s="2">
        <v>6930</v>
      </c>
      <c r="E25" s="2"/>
      <c r="F25" s="2">
        <f t="shared" si="0"/>
        <v>21027</v>
      </c>
      <c r="G25" s="2"/>
      <c r="H25" s="2">
        <v>6913</v>
      </c>
      <c r="I25" s="2">
        <v>160</v>
      </c>
      <c r="J25" s="2"/>
      <c r="K25" s="2">
        <f t="shared" si="1"/>
        <v>7073</v>
      </c>
      <c r="L25" s="2"/>
      <c r="M25" s="2"/>
      <c r="N25" s="2">
        <v>102523</v>
      </c>
      <c r="O25" s="2">
        <v>102523</v>
      </c>
      <c r="P25" s="29">
        <f t="shared" si="6"/>
        <v>0</v>
      </c>
      <c r="Q25" s="5">
        <f t="shared" si="2"/>
        <v>14.494980913332391</v>
      </c>
      <c r="R25" s="2"/>
      <c r="S25" s="9">
        <f t="shared" si="3"/>
        <v>7.5259825588340696</v>
      </c>
      <c r="T25" s="9"/>
      <c r="U25" s="30"/>
      <c r="W25" s="5">
        <f t="shared" si="7"/>
        <v>179.8003150409794</v>
      </c>
      <c r="X25" s="9">
        <f t="shared" si="8"/>
        <v>6.2392969848280355</v>
      </c>
      <c r="Y25" s="11">
        <f t="shared" si="9"/>
        <v>17</v>
      </c>
      <c r="Z25" s="9"/>
      <c r="AF25">
        <v>396.52</v>
      </c>
      <c r="AG25" s="9">
        <f t="shared" si="10"/>
        <v>1.0959949141767322</v>
      </c>
      <c r="AJ25" s="9">
        <f t="shared" si="4"/>
        <v>-1.8918964239872271</v>
      </c>
      <c r="AL25" s="5">
        <f t="shared" si="11"/>
        <v>8.6685375676153207</v>
      </c>
      <c r="AM25" s="9">
        <f t="shared" si="12"/>
        <v>0.490210108287914</v>
      </c>
      <c r="AN25" s="11">
        <f t="shared" si="13"/>
        <v>17</v>
      </c>
      <c r="AU25" s="2"/>
      <c r="AV25" s="27"/>
    </row>
    <row r="26" spans="1:48" x14ac:dyDescent="0.25">
      <c r="A26">
        <f t="shared" si="5"/>
        <v>1977</v>
      </c>
      <c r="C26" s="2">
        <v>16425</v>
      </c>
      <c r="D26" s="2">
        <v>8346</v>
      </c>
      <c r="E26" s="2"/>
      <c r="F26" s="2">
        <f t="shared" si="0"/>
        <v>24771</v>
      </c>
      <c r="G26" s="2"/>
      <c r="H26" s="2">
        <v>9688</v>
      </c>
      <c r="I26" s="2">
        <v>196</v>
      </c>
      <c r="J26" s="2"/>
      <c r="K26" s="2">
        <f t="shared" si="1"/>
        <v>9884</v>
      </c>
      <c r="L26" s="2"/>
      <c r="M26" s="2"/>
      <c r="N26" s="2">
        <v>117410</v>
      </c>
      <c r="O26" s="2">
        <v>117410</v>
      </c>
      <c r="P26" s="29">
        <f t="shared" si="6"/>
        <v>0</v>
      </c>
      <c r="Q26" s="5">
        <f t="shared" si="2"/>
        <v>11.878794010522055</v>
      </c>
      <c r="R26" s="2"/>
      <c r="S26" s="9">
        <f t="shared" si="3"/>
        <v>7.8889534801287411</v>
      </c>
      <c r="T26" s="9"/>
      <c r="U26" s="30"/>
      <c r="W26" s="5">
        <f t="shared" si="7"/>
        <v>201.87363173181595</v>
      </c>
      <c r="X26" s="9">
        <f t="shared" si="8"/>
        <v>6.3302792447726741</v>
      </c>
      <c r="Y26" s="11">
        <f t="shared" si="9"/>
        <v>18</v>
      </c>
      <c r="Z26" s="9"/>
      <c r="AF26">
        <v>446.88</v>
      </c>
      <c r="AG26" s="9">
        <f t="shared" si="10"/>
        <v>1.127004943004136</v>
      </c>
      <c r="AJ26" s="9">
        <f t="shared" si="4"/>
        <v>-4.2693165191088234</v>
      </c>
      <c r="AL26" s="5">
        <f t="shared" si="11"/>
        <v>4.0291337421671347</v>
      </c>
      <c r="AM26" s="9">
        <f t="shared" si="12"/>
        <v>0.21968988793570343</v>
      </c>
      <c r="AN26" s="11">
        <f t="shared" si="13"/>
        <v>18</v>
      </c>
      <c r="AU26" s="2"/>
      <c r="AV26" s="27"/>
    </row>
    <row r="27" spans="1:48" x14ac:dyDescent="0.25">
      <c r="A27">
        <f t="shared" si="5"/>
        <v>1978</v>
      </c>
      <c r="C27" s="2">
        <v>18241</v>
      </c>
      <c r="D27" s="2">
        <v>9717</v>
      </c>
      <c r="E27" s="2"/>
      <c r="F27" s="2">
        <f t="shared" si="0"/>
        <v>27958</v>
      </c>
      <c r="G27" s="2"/>
      <c r="H27" s="2">
        <v>12337</v>
      </c>
      <c r="I27" s="2">
        <v>225</v>
      </c>
      <c r="J27" s="2"/>
      <c r="K27" s="2">
        <f t="shared" si="1"/>
        <v>12562</v>
      </c>
      <c r="L27" s="2"/>
      <c r="M27" s="2"/>
      <c r="N27" s="2">
        <v>132807</v>
      </c>
      <c r="O27" s="2">
        <v>132807</v>
      </c>
      <c r="P27" s="29">
        <f t="shared" si="6"/>
        <v>-1</v>
      </c>
      <c r="Q27" s="5">
        <f t="shared" si="2"/>
        <v>10.572122273523325</v>
      </c>
      <c r="R27" s="2"/>
      <c r="S27" s="9">
        <f t="shared" si="3"/>
        <v>8.0806988802448245</v>
      </c>
      <c r="T27" s="9"/>
      <c r="U27" s="30"/>
      <c r="W27" s="5">
        <f t="shared" si="7"/>
        <v>226.26713091092321</v>
      </c>
      <c r="X27" s="9">
        <f t="shared" si="8"/>
        <v>6.42169578477223</v>
      </c>
      <c r="Y27" s="11">
        <f t="shared" si="9"/>
        <v>19</v>
      </c>
      <c r="Z27" s="9"/>
      <c r="AF27">
        <v>479.82</v>
      </c>
      <c r="AG27" s="9">
        <f t="shared" si="10"/>
        <v>1.0737110633727176</v>
      </c>
      <c r="AJ27" s="9">
        <f t="shared" si="4"/>
        <v>0.66087848694054152</v>
      </c>
      <c r="AL27" s="5">
        <f t="shared" si="11"/>
        <v>4.7166399072197107</v>
      </c>
      <c r="AM27" s="9">
        <f t="shared" si="12"/>
        <v>0.24286205776118397</v>
      </c>
      <c r="AN27" s="11">
        <f t="shared" si="13"/>
        <v>19</v>
      </c>
      <c r="AU27" s="2"/>
      <c r="AV27" s="27"/>
    </row>
    <row r="28" spans="1:48" x14ac:dyDescent="0.25">
      <c r="A28">
        <f t="shared" si="5"/>
        <v>1979</v>
      </c>
      <c r="C28" s="2">
        <v>19347</v>
      </c>
      <c r="D28" s="2">
        <v>11467</v>
      </c>
      <c r="E28" s="2"/>
      <c r="F28" s="2">
        <f t="shared" si="0"/>
        <v>30814</v>
      </c>
      <c r="G28" s="2"/>
      <c r="H28" s="2">
        <v>15072</v>
      </c>
      <c r="I28" s="2">
        <v>236</v>
      </c>
      <c r="J28" s="2"/>
      <c r="K28" s="2">
        <f t="shared" si="1"/>
        <v>15308</v>
      </c>
      <c r="L28" s="2"/>
      <c r="M28" s="2"/>
      <c r="N28" s="2">
        <v>148312</v>
      </c>
      <c r="O28" s="2">
        <v>148312</v>
      </c>
      <c r="P28" s="29">
        <f t="shared" si="6"/>
        <v>1</v>
      </c>
      <c r="Q28" s="5">
        <f t="shared" si="2"/>
        <v>9.6885288737914816</v>
      </c>
      <c r="R28" s="2"/>
      <c r="S28" s="9">
        <f t="shared" si="3"/>
        <v>8.5050045799601701</v>
      </c>
      <c r="T28" s="9"/>
      <c r="U28" s="30"/>
      <c r="W28" s="5">
        <f t="shared" si="7"/>
        <v>254.01616533780188</v>
      </c>
      <c r="X28" s="9">
        <f t="shared" si="8"/>
        <v>6.5249047823594086</v>
      </c>
      <c r="Y28" s="11">
        <f t="shared" si="9"/>
        <v>20</v>
      </c>
      <c r="Z28" s="9"/>
      <c r="AF28">
        <v>526.64</v>
      </c>
      <c r="AG28" s="9">
        <f t="shared" si="10"/>
        <v>1.0975782585136094</v>
      </c>
      <c r="AJ28" s="9">
        <f t="shared" si="4"/>
        <v>-1.1414414067361212</v>
      </c>
      <c r="AL28" s="5">
        <f t="shared" si="11"/>
        <v>3.5213608195759472</v>
      </c>
      <c r="AM28" s="9">
        <f t="shared" si="12"/>
        <v>0.17318874954903585</v>
      </c>
      <c r="AN28" s="11">
        <f t="shared" si="13"/>
        <v>20</v>
      </c>
      <c r="AU28" s="2"/>
      <c r="AV28" s="27"/>
    </row>
    <row r="29" spans="1:48" x14ac:dyDescent="0.25">
      <c r="A29">
        <f t="shared" si="5"/>
        <v>1980</v>
      </c>
      <c r="C29" s="2">
        <v>22192</v>
      </c>
      <c r="D29" s="2">
        <v>13767</v>
      </c>
      <c r="E29" s="2"/>
      <c r="F29" s="2">
        <f t="shared" si="0"/>
        <v>35959</v>
      </c>
      <c r="G29" s="2"/>
      <c r="H29" s="2">
        <v>19029</v>
      </c>
      <c r="I29" s="2">
        <v>248</v>
      </c>
      <c r="J29" s="2"/>
      <c r="K29" s="2">
        <f t="shared" si="1"/>
        <v>19277</v>
      </c>
      <c r="L29" s="2"/>
      <c r="M29" s="2"/>
      <c r="N29" s="2">
        <v>164994</v>
      </c>
      <c r="O29" s="2">
        <v>164994</v>
      </c>
      <c r="P29" s="29">
        <f t="shared" si="6"/>
        <v>0</v>
      </c>
      <c r="Q29" s="5">
        <f t="shared" si="2"/>
        <v>8.5591118950044098</v>
      </c>
      <c r="R29" s="2"/>
      <c r="S29" s="9">
        <f t="shared" si="3"/>
        <v>9.1921252324405156</v>
      </c>
      <c r="T29" s="9"/>
      <c r="U29" s="30"/>
      <c r="W29" s="5">
        <f t="shared" si="7"/>
        <v>286.55777459873627</v>
      </c>
      <c r="X29" s="9">
        <f t="shared" si="8"/>
        <v>6.6504251526972702</v>
      </c>
      <c r="Y29" s="11">
        <f t="shared" si="9"/>
        <v>21</v>
      </c>
      <c r="Z29" s="9"/>
      <c r="AE29" s="18">
        <v>105.2</v>
      </c>
      <c r="AF29">
        <v>601.02</v>
      </c>
      <c r="AG29" s="9">
        <f t="shared" si="10"/>
        <v>1.1412349992404678</v>
      </c>
      <c r="AJ29" s="9">
        <f t="shared" si="4"/>
        <v>-4.3210860996098717</v>
      </c>
      <c r="AL29" s="5">
        <f t="shared" si="11"/>
        <v>-0.95188631292573156</v>
      </c>
      <c r="AM29" s="9">
        <f t="shared" si="12"/>
        <v>-4.5534663502921902E-2</v>
      </c>
      <c r="AN29" s="11">
        <f t="shared" si="13"/>
        <v>21</v>
      </c>
      <c r="AU29" s="2"/>
      <c r="AV29" s="27"/>
    </row>
    <row r="30" spans="1:48" x14ac:dyDescent="0.25">
      <c r="A30">
        <f t="shared" si="5"/>
        <v>1981</v>
      </c>
      <c r="C30" s="2">
        <v>25795</v>
      </c>
      <c r="D30" s="2">
        <v>16499</v>
      </c>
      <c r="E30" s="2"/>
      <c r="F30" s="2">
        <f t="shared" si="0"/>
        <v>42294</v>
      </c>
      <c r="G30" s="2"/>
      <c r="H30" s="2">
        <v>23537</v>
      </c>
      <c r="I30" s="2">
        <v>259</v>
      </c>
      <c r="J30" s="2"/>
      <c r="K30" s="2">
        <f t="shared" si="1"/>
        <v>23796</v>
      </c>
      <c r="L30" s="2"/>
      <c r="M30" s="2"/>
      <c r="N30" s="2">
        <v>183492</v>
      </c>
      <c r="O30" s="2">
        <v>183492</v>
      </c>
      <c r="P30" s="29">
        <f t="shared" si="6"/>
        <v>0</v>
      </c>
      <c r="Q30" s="5">
        <f t="shared" si="2"/>
        <v>7.7110438729198183</v>
      </c>
      <c r="R30" s="2"/>
      <c r="S30" s="9">
        <f t="shared" si="3"/>
        <v>9.9395458255895566</v>
      </c>
      <c r="T30" s="9"/>
      <c r="U30" s="30"/>
      <c r="W30" s="5">
        <f t="shared" si="7"/>
        <v>324.97986174735684</v>
      </c>
      <c r="X30" s="9">
        <f t="shared" si="8"/>
        <v>6.7977732716306249</v>
      </c>
      <c r="Y30" s="11">
        <f t="shared" si="9"/>
        <v>22</v>
      </c>
      <c r="Z30" s="9"/>
      <c r="AE30" s="18">
        <v>114.86</v>
      </c>
      <c r="AF30">
        <v>655.86</v>
      </c>
      <c r="AG30" s="9">
        <f t="shared" si="10"/>
        <v>1.091244883697714</v>
      </c>
      <c r="AJ30" s="9">
        <f t="shared" si="4"/>
        <v>0.74690609595924329</v>
      </c>
      <c r="AL30" s="5">
        <f t="shared" si="11"/>
        <v>-0.21208991386433285</v>
      </c>
      <c r="AM30" s="9">
        <f t="shared" si="12"/>
        <v>-9.6502226559325166E-3</v>
      </c>
      <c r="AN30" s="11">
        <f t="shared" si="13"/>
        <v>22</v>
      </c>
      <c r="AU30" s="2"/>
      <c r="AV30" s="27"/>
    </row>
    <row r="31" spans="1:48" x14ac:dyDescent="0.25">
      <c r="A31">
        <f t="shared" si="5"/>
        <v>1982</v>
      </c>
      <c r="C31" s="2">
        <v>27150</v>
      </c>
      <c r="D31" s="2">
        <v>19234</v>
      </c>
      <c r="E31" s="2"/>
      <c r="F31" s="2">
        <f t="shared" si="0"/>
        <v>46384</v>
      </c>
      <c r="G31" s="2"/>
      <c r="H31" s="2">
        <v>27013</v>
      </c>
      <c r="I31" s="2">
        <v>207</v>
      </c>
      <c r="J31" s="2"/>
      <c r="K31" s="2">
        <f t="shared" si="1"/>
        <v>27220</v>
      </c>
      <c r="L31" s="2"/>
      <c r="M31" s="2"/>
      <c r="N31" s="2">
        <v>202656</v>
      </c>
      <c r="O31" s="2">
        <v>202656</v>
      </c>
      <c r="P31" s="29">
        <f t="shared" si="6"/>
        <v>0</v>
      </c>
      <c r="Q31" s="5">
        <f t="shared" si="2"/>
        <v>7.4451138868479063</v>
      </c>
      <c r="R31" s="2"/>
      <c r="S31" s="9">
        <f t="shared" si="3"/>
        <v>10.484200657374751</v>
      </c>
      <c r="T31" s="9"/>
      <c r="U31" s="30"/>
      <c r="W31" s="5">
        <f t="shared" si="7"/>
        <v>369.53560320638354</v>
      </c>
      <c r="X31" s="9">
        <f t="shared" si="8"/>
        <v>6.9554648313928213</v>
      </c>
      <c r="Y31" s="11">
        <f t="shared" si="9"/>
        <v>23</v>
      </c>
      <c r="Z31" s="9"/>
      <c r="AE31" s="18">
        <v>125.94</v>
      </c>
      <c r="AF31">
        <v>719.15</v>
      </c>
      <c r="AG31" s="9">
        <f t="shared" si="10"/>
        <v>1.096499252889336</v>
      </c>
      <c r="AJ31" s="9">
        <f t="shared" si="4"/>
        <v>0.76085356760871026</v>
      </c>
      <c r="AL31" s="5">
        <f t="shared" si="11"/>
        <v>0.54714996006819394</v>
      </c>
      <c r="AM31" s="9">
        <f t="shared" si="12"/>
        <v>2.3727098449577433E-2</v>
      </c>
      <c r="AN31" s="11">
        <f t="shared" si="13"/>
        <v>23</v>
      </c>
      <c r="AU31" s="2"/>
      <c r="AV31" s="27"/>
    </row>
    <row r="32" spans="1:48" x14ac:dyDescent="0.25">
      <c r="A32">
        <f t="shared" si="5"/>
        <v>1983</v>
      </c>
      <c r="C32" s="2">
        <v>29574</v>
      </c>
      <c r="D32" s="2">
        <v>22908</v>
      </c>
      <c r="E32" s="2">
        <v>398</v>
      </c>
      <c r="F32" s="2">
        <f t="shared" si="0"/>
        <v>52880</v>
      </c>
      <c r="G32" s="2"/>
      <c r="H32" s="2">
        <v>32467</v>
      </c>
      <c r="I32" s="2">
        <v>283</v>
      </c>
      <c r="J32" s="2"/>
      <c r="K32" s="2">
        <f t="shared" si="1"/>
        <v>32750</v>
      </c>
      <c r="L32" s="2"/>
      <c r="M32" s="2"/>
      <c r="N32" s="2">
        <v>222786</v>
      </c>
      <c r="O32" s="2">
        <v>222786</v>
      </c>
      <c r="P32" s="29">
        <f t="shared" si="6"/>
        <v>0</v>
      </c>
      <c r="Q32" s="5">
        <f t="shared" si="2"/>
        <v>6.802625954198473</v>
      </c>
      <c r="R32" s="2"/>
      <c r="S32" s="9">
        <f t="shared" si="3"/>
        <v>11.381895690798789</v>
      </c>
      <c r="T32" s="9"/>
      <c r="U32" s="30"/>
      <c r="W32" s="5">
        <f t="shared" si="7"/>
        <v>422.97765579449702</v>
      </c>
      <c r="X32" s="9">
        <f t="shared" si="8"/>
        <v>7.1363378694665025</v>
      </c>
      <c r="Y32" s="11">
        <f t="shared" si="9"/>
        <v>24</v>
      </c>
      <c r="Z32" s="9"/>
      <c r="AE32" s="18">
        <v>137.53</v>
      </c>
      <c r="AG32" s="73">
        <f t="shared" ref="AG32:AG60" si="14">AE32/AE31</f>
        <v>1.0920279498173733</v>
      </c>
      <c r="AJ32" s="9">
        <f t="shared" si="4"/>
        <v>1.9954623958351014</v>
      </c>
      <c r="AL32" s="5">
        <f t="shared" si="11"/>
        <v>2.5535305276052744</v>
      </c>
      <c r="AM32" s="9">
        <f t="shared" si="12"/>
        <v>0.10511656425644667</v>
      </c>
      <c r="AN32" s="11">
        <f t="shared" si="13"/>
        <v>24</v>
      </c>
      <c r="AU32" s="2"/>
      <c r="AV32" s="27"/>
    </row>
    <row r="33" spans="1:48" x14ac:dyDescent="0.25">
      <c r="A33">
        <f t="shared" si="5"/>
        <v>1984</v>
      </c>
      <c r="C33" s="2">
        <v>33283</v>
      </c>
      <c r="D33" s="2">
        <v>25243</v>
      </c>
      <c r="E33" s="2">
        <v>625</v>
      </c>
      <c r="F33" s="2">
        <f t="shared" si="0"/>
        <v>59151</v>
      </c>
      <c r="G33" s="2"/>
      <c r="H33" s="2">
        <v>36172</v>
      </c>
      <c r="I33" s="2">
        <v>309</v>
      </c>
      <c r="J33" s="2">
        <v>100</v>
      </c>
      <c r="K33" s="2">
        <f t="shared" si="1"/>
        <v>36581</v>
      </c>
      <c r="L33" s="2"/>
      <c r="M33" s="2"/>
      <c r="N33" s="2">
        <v>245356</v>
      </c>
      <c r="O33" s="2">
        <v>245356</v>
      </c>
      <c r="P33" s="29">
        <f t="shared" si="6"/>
        <v>0</v>
      </c>
      <c r="Q33" s="5">
        <f t="shared" si="2"/>
        <v>6.7255831802856285</v>
      </c>
      <c r="R33" s="2"/>
      <c r="S33" s="9">
        <f t="shared" si="3"/>
        <v>11.398987127990805</v>
      </c>
      <c r="T33" s="9"/>
      <c r="U33" s="30"/>
      <c r="W33" s="5">
        <f t="shared" si="7"/>
        <v>482.59181146077987</v>
      </c>
      <c r="X33" s="9">
        <f t="shared" si="8"/>
        <v>7.3036697745120893</v>
      </c>
      <c r="Y33" s="11">
        <f t="shared" si="9"/>
        <v>25</v>
      </c>
      <c r="Z33" s="9"/>
      <c r="AE33" s="33">
        <v>148.75</v>
      </c>
      <c r="AG33" s="73">
        <f t="shared" si="14"/>
        <v>1.0815822002472189</v>
      </c>
      <c r="AJ33" s="9">
        <f t="shared" si="4"/>
        <v>2.9963206703366385</v>
      </c>
      <c r="AL33" s="5">
        <f t="shared" si="11"/>
        <v>5.6263631609638987</v>
      </c>
      <c r="AM33" s="9">
        <f t="shared" si="12"/>
        <v>0.21919109431018935</v>
      </c>
      <c r="AN33" s="11">
        <f t="shared" si="13"/>
        <v>25</v>
      </c>
      <c r="AU33" s="2"/>
      <c r="AV33" s="27"/>
    </row>
    <row r="34" spans="1:48" x14ac:dyDescent="0.25">
      <c r="A34">
        <f t="shared" si="5"/>
        <v>1985</v>
      </c>
      <c r="C34" s="2">
        <v>35172</v>
      </c>
      <c r="D34" s="2">
        <v>27998</v>
      </c>
      <c r="E34" s="2">
        <v>537</v>
      </c>
      <c r="F34" s="2">
        <f>+C34+D34+E34</f>
        <v>63707</v>
      </c>
      <c r="G34" s="2"/>
      <c r="H34" s="2">
        <v>42116</v>
      </c>
      <c r="I34" s="2">
        <v>336</v>
      </c>
      <c r="J34" s="2"/>
      <c r="K34" s="2">
        <f t="shared" ref="K34:K62" si="15">+H34+I34+J34</f>
        <v>42452</v>
      </c>
      <c r="L34" s="2"/>
      <c r="M34" s="2"/>
      <c r="N34" s="2">
        <v>266611</v>
      </c>
      <c r="O34" s="2">
        <v>266611</v>
      </c>
      <c r="P34" s="29">
        <f t="shared" si="6"/>
        <v>0</v>
      </c>
      <c r="Q34" s="5">
        <f t="shared" si="2"/>
        <v>6.2802930368416092</v>
      </c>
      <c r="R34" s="2"/>
      <c r="S34" s="9">
        <f t="shared" si="3"/>
        <v>11.570162551733686</v>
      </c>
      <c r="T34" s="9"/>
      <c r="U34" s="30"/>
      <c r="W34" s="5">
        <f t="shared" si="7"/>
        <v>549.99863105988197</v>
      </c>
      <c r="X34" s="9">
        <f t="shared" si="8"/>
        <v>7.4647080443941416</v>
      </c>
      <c r="Y34" s="11">
        <f t="shared" si="9"/>
        <v>26</v>
      </c>
      <c r="Z34" s="9"/>
      <c r="AE34" s="33">
        <v>157.12</v>
      </c>
      <c r="AG34" s="73">
        <f t="shared" si="14"/>
        <v>1.0562689075630252</v>
      </c>
      <c r="AJ34" s="9">
        <f t="shared" si="4"/>
        <v>5.6266654758807766</v>
      </c>
      <c r="AL34" s="5">
        <f t="shared" si="11"/>
        <v>11.569605270370298</v>
      </c>
      <c r="AM34" s="9">
        <f t="shared" si="12"/>
        <v>0.42195879839810324</v>
      </c>
      <c r="AN34" s="11">
        <f t="shared" si="13"/>
        <v>26</v>
      </c>
      <c r="AU34" s="2"/>
      <c r="AV34" s="27"/>
    </row>
    <row r="35" spans="1:48" x14ac:dyDescent="0.25">
      <c r="A35">
        <f>+A34+1</f>
        <v>1986</v>
      </c>
      <c r="C35" s="2">
        <v>40193</v>
      </c>
      <c r="D35" s="28">
        <f t="shared" ref="D35:D50" si="16">O35-C35-E35+K35-O34</f>
        <v>32926</v>
      </c>
      <c r="E35" s="2">
        <v>1903</v>
      </c>
      <c r="F35" s="2">
        <f t="shared" ref="F35:F62" si="17">+C35+D35+E35</f>
        <v>75022</v>
      </c>
      <c r="G35" s="2"/>
      <c r="H35" s="2">
        <v>48418</v>
      </c>
      <c r="I35" s="2">
        <v>375</v>
      </c>
      <c r="J35" s="2"/>
      <c r="K35" s="2">
        <f t="shared" si="15"/>
        <v>48793</v>
      </c>
      <c r="L35" s="2"/>
      <c r="M35" s="2"/>
      <c r="N35" s="2">
        <v>292686</v>
      </c>
      <c r="O35" s="28">
        <v>292840</v>
      </c>
      <c r="P35" s="29">
        <f t="shared" si="6"/>
        <v>0</v>
      </c>
      <c r="Q35" s="5">
        <f t="shared" si="2"/>
        <v>6.0016805689340682</v>
      </c>
      <c r="R35" s="2"/>
      <c r="S35" s="9">
        <f t="shared" si="3"/>
        <v>12.506908503869713</v>
      </c>
      <c r="T35" s="9"/>
      <c r="U35" s="30"/>
      <c r="W35" s="5">
        <f t="shared" si="7"/>
        <v>631.29336512294697</v>
      </c>
      <c r="X35" s="9">
        <f t="shared" si="8"/>
        <v>7.6473625767295328</v>
      </c>
      <c r="Y35" s="11">
        <f t="shared" si="9"/>
        <v>27</v>
      </c>
      <c r="Z35" s="9"/>
      <c r="AE35" s="32">
        <v>162.30000000000001</v>
      </c>
      <c r="AG35" s="73">
        <f t="shared" si="14"/>
        <v>1.0329684317718941</v>
      </c>
      <c r="AJ35" s="9">
        <f t="shared" si="4"/>
        <v>8.9161149977079912</v>
      </c>
      <c r="AL35" s="5">
        <f t="shared" si="11"/>
        <v>21.51727957876539</v>
      </c>
      <c r="AM35" s="9">
        <f t="shared" si="12"/>
        <v>0.72441231992625976</v>
      </c>
      <c r="AN35" s="11">
        <f t="shared" si="13"/>
        <v>27</v>
      </c>
      <c r="AU35" s="2"/>
      <c r="AV35" s="27"/>
    </row>
    <row r="36" spans="1:48" x14ac:dyDescent="0.25">
      <c r="A36">
        <f t="shared" ref="A36:A51" si="18">+A35+1</f>
        <v>1987</v>
      </c>
      <c r="C36" s="2">
        <v>45030</v>
      </c>
      <c r="D36" s="28">
        <f t="shared" si="16"/>
        <v>31901</v>
      </c>
      <c r="E36" s="2">
        <v>3457</v>
      </c>
      <c r="F36" s="2">
        <f t="shared" si="17"/>
        <v>80388</v>
      </c>
      <c r="G36" s="2"/>
      <c r="H36" s="2">
        <v>53801</v>
      </c>
      <c r="I36" s="2">
        <v>399</v>
      </c>
      <c r="J36" s="2">
        <v>100</v>
      </c>
      <c r="K36" s="2">
        <f t="shared" si="15"/>
        <v>54300</v>
      </c>
      <c r="L36" s="2"/>
      <c r="M36" s="2"/>
      <c r="N36" s="2">
        <v>320064</v>
      </c>
      <c r="O36" s="28">
        <v>318928</v>
      </c>
      <c r="P36" s="29">
        <f t="shared" si="6"/>
        <v>0</v>
      </c>
      <c r="Q36" s="5">
        <f t="shared" si="2"/>
        <v>5.8842804428044282</v>
      </c>
      <c r="R36" s="2"/>
      <c r="S36" s="9">
        <f t="shared" si="3"/>
        <v>11.002867899018224</v>
      </c>
      <c r="T36" s="9"/>
      <c r="U36" s="30"/>
      <c r="W36" s="5">
        <f t="shared" si="7"/>
        <v>711.75660804170991</v>
      </c>
      <c r="X36" s="9">
        <f t="shared" si="8"/>
        <v>7.7654369149392943</v>
      </c>
      <c r="Y36" s="11">
        <f t="shared" si="9"/>
        <v>28</v>
      </c>
      <c r="Z36" s="9"/>
      <c r="AE36" s="32">
        <v>170.7</v>
      </c>
      <c r="AG36" s="73">
        <f t="shared" si="14"/>
        <v>1.0517560073937151</v>
      </c>
      <c r="AJ36" s="9">
        <f t="shared" si="4"/>
        <v>5.5405123609294948</v>
      </c>
      <c r="AL36" s="5">
        <f t="shared" si="11"/>
        <v>28.249959474492137</v>
      </c>
      <c r="AM36" s="9">
        <f t="shared" si="12"/>
        <v>0.89257051527440456</v>
      </c>
      <c r="AN36" s="11">
        <f t="shared" si="13"/>
        <v>28</v>
      </c>
      <c r="AU36" s="2"/>
      <c r="AV36" s="27"/>
    </row>
    <row r="37" spans="1:48" x14ac:dyDescent="0.25">
      <c r="A37">
        <f t="shared" si="18"/>
        <v>1988</v>
      </c>
      <c r="C37" s="2">
        <v>50008</v>
      </c>
      <c r="D37" s="28">
        <f t="shared" si="16"/>
        <v>51222</v>
      </c>
      <c r="E37" s="2">
        <v>4409</v>
      </c>
      <c r="F37" s="2">
        <f t="shared" si="17"/>
        <v>105639</v>
      </c>
      <c r="G37" s="2"/>
      <c r="H37" s="2">
        <v>60558</v>
      </c>
      <c r="I37" s="2">
        <v>512</v>
      </c>
      <c r="J37" s="2"/>
      <c r="K37" s="2">
        <f t="shared" si="15"/>
        <v>61070</v>
      </c>
      <c r="L37" s="2"/>
      <c r="M37" s="2"/>
      <c r="N37" s="2">
        <v>350016</v>
      </c>
      <c r="O37" s="28">
        <v>363497</v>
      </c>
      <c r="P37" s="29">
        <f t="shared" si="6"/>
        <v>0</v>
      </c>
      <c r="Q37" s="5">
        <f t="shared" si="2"/>
        <v>5.9521368920910431</v>
      </c>
      <c r="R37" s="2"/>
      <c r="S37" s="9">
        <f t="shared" si="3"/>
        <v>16.229960884216329</v>
      </c>
      <c r="T37" s="9"/>
      <c r="U37" s="30"/>
      <c r="W37" s="5">
        <f t="shared" si="7"/>
        <v>843.50438800192057</v>
      </c>
      <c r="X37" s="9">
        <f t="shared" si="8"/>
        <v>8.0467876750546008</v>
      </c>
      <c r="Y37" s="11">
        <f t="shared" si="9"/>
        <v>29</v>
      </c>
      <c r="Z37" s="9"/>
      <c r="AE37" s="32">
        <v>180.9</v>
      </c>
      <c r="AG37" s="73">
        <f t="shared" si="14"/>
        <v>1.0597539543057997</v>
      </c>
      <c r="AJ37" s="9">
        <f t="shared" si="4"/>
        <v>9.6763644164495677</v>
      </c>
      <c r="AL37" s="5">
        <f t="shared" si="11"/>
        <v>40.659892917192877</v>
      </c>
      <c r="AM37" s="9">
        <f t="shared" si="12"/>
        <v>1.1834119874123639</v>
      </c>
      <c r="AN37" s="11">
        <f t="shared" si="13"/>
        <v>29</v>
      </c>
      <c r="AU37" s="2"/>
      <c r="AV37" s="27"/>
    </row>
    <row r="38" spans="1:48" x14ac:dyDescent="0.25">
      <c r="A38">
        <f t="shared" si="18"/>
        <v>1989</v>
      </c>
      <c r="C38" s="2">
        <v>59864</v>
      </c>
      <c r="D38" s="28">
        <f t="shared" si="16"/>
        <v>28303</v>
      </c>
      <c r="E38" s="2">
        <v>5334</v>
      </c>
      <c r="F38" s="2">
        <f t="shared" si="17"/>
        <v>93501</v>
      </c>
      <c r="G38" s="2"/>
      <c r="H38" s="2">
        <v>69178</v>
      </c>
      <c r="I38" s="2">
        <v>540</v>
      </c>
      <c r="J38" s="2"/>
      <c r="K38" s="2">
        <f t="shared" si="15"/>
        <v>69718</v>
      </c>
      <c r="L38" s="2"/>
      <c r="M38" s="2"/>
      <c r="N38" s="2">
        <v>384410</v>
      </c>
      <c r="O38" s="28">
        <v>387280</v>
      </c>
      <c r="P38" s="29">
        <f t="shared" si="6"/>
        <v>0</v>
      </c>
      <c r="Q38" s="5">
        <f t="shared" si="2"/>
        <v>5.5549499411916576</v>
      </c>
      <c r="R38" s="2"/>
      <c r="S38" s="9">
        <f t="shared" si="3"/>
        <v>7.8350224367935732</v>
      </c>
      <c r="T38" s="9"/>
      <c r="U38" s="30"/>
      <c r="W38" s="5">
        <f t="shared" si="7"/>
        <v>917.42816849400288</v>
      </c>
      <c r="X38" s="9">
        <f t="shared" si="8"/>
        <v>8.0397221383036168</v>
      </c>
      <c r="Y38" s="11">
        <f t="shared" si="9"/>
        <v>30</v>
      </c>
      <c r="Z38" s="9"/>
      <c r="AE38" s="32">
        <v>192.8</v>
      </c>
      <c r="AG38" s="73">
        <f t="shared" si="14"/>
        <v>1.0657822001105584</v>
      </c>
      <c r="AJ38" s="9">
        <f t="shared" si="4"/>
        <v>1.1792300768462383</v>
      </c>
      <c r="AL38" s="5">
        <f t="shared" si="11"/>
        <v>42.318596680532124</v>
      </c>
      <c r="AM38" s="9">
        <f t="shared" si="12"/>
        <v>1.1832725876087968</v>
      </c>
      <c r="AN38" s="11">
        <f t="shared" si="13"/>
        <v>30</v>
      </c>
      <c r="AU38" s="2"/>
      <c r="AV38" s="27"/>
    </row>
    <row r="39" spans="1:48" x14ac:dyDescent="0.25">
      <c r="A39">
        <f t="shared" si="18"/>
        <v>1990</v>
      </c>
      <c r="C39" s="2">
        <v>78927</v>
      </c>
      <c r="D39" s="28">
        <f t="shared" si="16"/>
        <v>34024</v>
      </c>
      <c r="E39" s="2">
        <v>3874</v>
      </c>
      <c r="F39" s="2">
        <f t="shared" si="17"/>
        <v>116825</v>
      </c>
      <c r="G39" s="2"/>
      <c r="H39" s="2">
        <v>77406</v>
      </c>
      <c r="I39" s="2">
        <v>582</v>
      </c>
      <c r="J39" s="2"/>
      <c r="K39" s="2">
        <f t="shared" si="15"/>
        <v>77988</v>
      </c>
      <c r="L39" s="2"/>
      <c r="M39" s="2"/>
      <c r="N39" s="2">
        <v>431772</v>
      </c>
      <c r="O39" s="28">
        <v>426117</v>
      </c>
      <c r="P39" s="29">
        <f t="shared" si="6"/>
        <v>0</v>
      </c>
      <c r="Q39" s="5">
        <f t="shared" si="2"/>
        <v>5.4638790583166639</v>
      </c>
      <c r="R39" s="2"/>
      <c r="S39" s="9">
        <f t="shared" si="3"/>
        <v>8.731121042171079</v>
      </c>
      <c r="T39" s="9"/>
      <c r="U39" s="30"/>
      <c r="W39" s="5">
        <f t="shared" si="7"/>
        <v>1006.2610534023587</v>
      </c>
      <c r="X39" s="9">
        <f t="shared" si="8"/>
        <v>8.0619565548529337</v>
      </c>
      <c r="Y39" s="11">
        <f t="shared" si="9"/>
        <v>31</v>
      </c>
      <c r="Z39" s="9"/>
      <c r="AE39" s="32">
        <v>213.9</v>
      </c>
      <c r="AG39" s="73">
        <f t="shared" si="14"/>
        <v>1.1094398340248963</v>
      </c>
      <c r="AJ39" s="9">
        <f t="shared" si="4"/>
        <v>-1.9945762649341559</v>
      </c>
      <c r="AL39" s="5">
        <f t="shared" si="11"/>
        <v>39.479943730554858</v>
      </c>
      <c r="AM39" s="9">
        <f t="shared" si="12"/>
        <v>1.079170625397019</v>
      </c>
      <c r="AN39" s="11">
        <f t="shared" si="13"/>
        <v>31</v>
      </c>
      <c r="AU39" s="2"/>
      <c r="AV39" s="27"/>
    </row>
    <row r="40" spans="1:48" x14ac:dyDescent="0.25">
      <c r="A40">
        <f t="shared" si="18"/>
        <v>1991</v>
      </c>
      <c r="C40" s="2">
        <v>83145</v>
      </c>
      <c r="D40" s="28">
        <f t="shared" si="16"/>
        <v>62050</v>
      </c>
      <c r="E40" s="2">
        <v>3340</v>
      </c>
      <c r="F40" s="2">
        <f t="shared" si="17"/>
        <v>148535</v>
      </c>
      <c r="G40" s="2"/>
      <c r="H40" s="2">
        <v>87861</v>
      </c>
      <c r="I40" s="2">
        <v>702</v>
      </c>
      <c r="J40" s="2">
        <v>400</v>
      </c>
      <c r="K40" s="2">
        <f t="shared" si="15"/>
        <v>88963</v>
      </c>
      <c r="L40" s="2"/>
      <c r="M40" s="2"/>
      <c r="N40" s="2">
        <v>480734</v>
      </c>
      <c r="O40" s="28">
        <v>485689</v>
      </c>
      <c r="P40" s="29">
        <f t="shared" si="6"/>
        <v>0</v>
      </c>
      <c r="Q40" s="5">
        <f t="shared" si="2"/>
        <v>5.4841073586034801</v>
      </c>
      <c r="R40" s="2"/>
      <c r="S40" s="9">
        <f t="shared" si="3"/>
        <v>14.604192262249398</v>
      </c>
      <c r="T40" s="9"/>
      <c r="U40" s="30"/>
      <c r="W40" s="5">
        <f t="shared" si="7"/>
        <v>1167.8215445636247</v>
      </c>
      <c r="X40" s="9">
        <f t="shared" si="8"/>
        <v>8.2606340982525275</v>
      </c>
      <c r="Y40" s="11">
        <f t="shared" si="9"/>
        <v>32</v>
      </c>
      <c r="Z40" s="9"/>
      <c r="AE40" s="32">
        <v>230.8</v>
      </c>
      <c r="AG40" s="73">
        <f t="shared" si="14"/>
        <v>1.0790088826554465</v>
      </c>
      <c r="AJ40" s="9">
        <f t="shared" si="4"/>
        <v>6.2124641459928354</v>
      </c>
      <c r="AL40" s="5">
        <f t="shared" si="11"/>
        <v>48.145085225666563</v>
      </c>
      <c r="AM40" s="9">
        <f t="shared" si="12"/>
        <v>1.2357667477986167</v>
      </c>
      <c r="AN40" s="11">
        <f t="shared" si="13"/>
        <v>32</v>
      </c>
      <c r="AU40" s="2"/>
      <c r="AV40" s="27"/>
    </row>
    <row r="41" spans="1:48" x14ac:dyDescent="0.25">
      <c r="A41">
        <f t="shared" si="18"/>
        <v>1992</v>
      </c>
      <c r="C41" s="2">
        <v>83796</v>
      </c>
      <c r="D41" s="28">
        <f t="shared" si="16"/>
        <v>58781</v>
      </c>
      <c r="E41" s="2">
        <v>1641</v>
      </c>
      <c r="F41" s="2">
        <f t="shared" si="17"/>
        <v>144218</v>
      </c>
      <c r="G41" s="2"/>
      <c r="H41" s="2">
        <v>96381</v>
      </c>
      <c r="I41" s="2">
        <v>666</v>
      </c>
      <c r="J41" s="2">
        <f>600+22320-21668+19293</f>
        <v>20545</v>
      </c>
      <c r="K41" s="2">
        <f t="shared" si="15"/>
        <v>117592</v>
      </c>
      <c r="L41" s="2"/>
      <c r="M41" s="2"/>
      <c r="N41" s="2">
        <v>498775</v>
      </c>
      <c r="O41" s="28">
        <v>512315</v>
      </c>
      <c r="P41" s="29">
        <f t="shared" si="6"/>
        <v>0</v>
      </c>
      <c r="Q41" s="5">
        <f t="shared" ref="Q41:Q62" si="19">O41/(H41+I41)</f>
        <v>5.2790400527579422</v>
      </c>
      <c r="R41" s="2"/>
      <c r="S41" s="6">
        <f>D41/(O40-J41+(C41-H41-I41)/2)*100</f>
        <v>12.81976626897279</v>
      </c>
      <c r="T41" s="10" t="s">
        <v>12</v>
      </c>
      <c r="U41" s="30"/>
      <c r="V41" s="10"/>
      <c r="W41" s="5">
        <f t="shared" si="7"/>
        <v>1330.353303284362</v>
      </c>
      <c r="X41" s="9">
        <f t="shared" si="8"/>
        <v>8.3960443669937277</v>
      </c>
      <c r="Y41" s="11">
        <f t="shared" si="9"/>
        <v>33</v>
      </c>
      <c r="Z41" s="9"/>
      <c r="AE41" s="32">
        <v>234.9</v>
      </c>
      <c r="AG41" s="73">
        <f t="shared" si="14"/>
        <v>1.0177642980935875</v>
      </c>
      <c r="AJ41" s="9">
        <f t="shared" si="4"/>
        <v>10.850583460531805</v>
      </c>
      <c r="AL41" s="5">
        <f t="shared" si="11"/>
        <v>64.219691340753499</v>
      </c>
      <c r="AM41" s="9">
        <f t="shared" si="12"/>
        <v>1.5144900498510472</v>
      </c>
      <c r="AN41" s="11">
        <f t="shared" si="13"/>
        <v>33</v>
      </c>
      <c r="AU41" s="2"/>
      <c r="AV41" s="27"/>
    </row>
    <row r="42" spans="1:48" x14ac:dyDescent="0.25">
      <c r="A42">
        <f t="shared" si="18"/>
        <v>1993</v>
      </c>
      <c r="C42" s="2">
        <v>81014</v>
      </c>
      <c r="D42" s="28">
        <f t="shared" si="16"/>
        <v>94932.800000000047</v>
      </c>
      <c r="E42" s="2"/>
      <c r="F42" s="2">
        <f t="shared" si="17"/>
        <v>175946.80000000005</v>
      </c>
      <c r="G42" s="2"/>
      <c r="H42" s="2">
        <v>101438</v>
      </c>
      <c r="I42" s="2">
        <v>779</v>
      </c>
      <c r="J42" s="2"/>
      <c r="K42" s="2">
        <f t="shared" si="15"/>
        <v>102217</v>
      </c>
      <c r="L42" s="2"/>
      <c r="M42" s="2"/>
      <c r="N42" s="2">
        <v>531277</v>
      </c>
      <c r="O42" s="28">
        <v>586044.80000000005</v>
      </c>
      <c r="P42" s="29">
        <f t="shared" si="6"/>
        <v>0</v>
      </c>
      <c r="Q42" s="5">
        <f t="shared" si="19"/>
        <v>5.7333398554056574</v>
      </c>
      <c r="R42" s="2"/>
      <c r="S42" s="9">
        <f t="shared" ref="S42:S47" si="20">D42/(O41+(C42+E42-H42-I42-J42)/2)*100</f>
        <v>18.921715281729522</v>
      </c>
      <c r="U42" s="30"/>
      <c r="W42" s="5">
        <f t="shared" si="7"/>
        <v>1601.0006828546423</v>
      </c>
      <c r="X42" s="9">
        <f t="shared" si="8"/>
        <v>8.6919025708230393</v>
      </c>
      <c r="Y42" s="11">
        <f t="shared" si="9"/>
        <v>34</v>
      </c>
      <c r="Z42" s="9"/>
      <c r="AE42" s="32">
        <v>244.3</v>
      </c>
      <c r="AG42" s="73">
        <f t="shared" si="14"/>
        <v>1.0400170285227757</v>
      </c>
      <c r="AJ42" s="9">
        <f t="shared" si="4"/>
        <v>14.34593090330849</v>
      </c>
      <c r="AL42" s="5">
        <f t="shared" si="11"/>
        <v>87.778534790124496</v>
      </c>
      <c r="AM42" s="9">
        <f t="shared" si="12"/>
        <v>1.8704935288050395</v>
      </c>
      <c r="AN42" s="11">
        <f t="shared" si="13"/>
        <v>34</v>
      </c>
      <c r="AU42" s="2"/>
      <c r="AV42" s="27"/>
    </row>
    <row r="43" spans="1:48" x14ac:dyDescent="0.25">
      <c r="A43">
        <f t="shared" si="18"/>
        <v>1994</v>
      </c>
      <c r="C43" s="2">
        <v>82684</v>
      </c>
      <c r="D43" s="28">
        <f t="shared" si="16"/>
        <v>2737.5999999999767</v>
      </c>
      <c r="E43" s="2"/>
      <c r="F43" s="2">
        <f t="shared" si="17"/>
        <v>85421.599999999977</v>
      </c>
      <c r="G43" s="2"/>
      <c r="H43" s="2">
        <v>108371</v>
      </c>
      <c r="I43" s="2">
        <v>659</v>
      </c>
      <c r="J43" s="2"/>
      <c r="K43" s="2">
        <f t="shared" si="15"/>
        <v>109030</v>
      </c>
      <c r="L43" s="2"/>
      <c r="M43" s="2"/>
      <c r="N43" s="2">
        <v>541404</v>
      </c>
      <c r="O43" s="28">
        <v>562436.4</v>
      </c>
      <c r="P43" s="29">
        <f t="shared" si="6"/>
        <v>0</v>
      </c>
      <c r="Q43" s="5">
        <f t="shared" si="19"/>
        <v>5.1585471888471064</v>
      </c>
      <c r="R43" s="2"/>
      <c r="S43" s="9">
        <f t="shared" si="20"/>
        <v>0.47787305990624368</v>
      </c>
      <c r="U43" s="30"/>
      <c r="W43" s="5">
        <f t="shared" si="7"/>
        <v>1609.129306866826</v>
      </c>
      <c r="X43" s="9">
        <f t="shared" si="8"/>
        <v>8.4481481905246838</v>
      </c>
      <c r="Y43" s="11">
        <f t="shared" si="9"/>
        <v>35</v>
      </c>
      <c r="Z43" s="9"/>
      <c r="AE43" s="32">
        <v>250.4</v>
      </c>
      <c r="AG43" s="73">
        <f t="shared" si="14"/>
        <v>1.0249693000409332</v>
      </c>
      <c r="AJ43" s="9">
        <f t="shared" si="4"/>
        <v>-1.9698706528150978</v>
      </c>
      <c r="AL43" s="5">
        <f t="shared" si="11"/>
        <v>84.079540541007631</v>
      </c>
      <c r="AM43" s="9">
        <f t="shared" si="12"/>
        <v>1.7587084924628016</v>
      </c>
      <c r="AN43" s="11">
        <f t="shared" si="13"/>
        <v>35</v>
      </c>
      <c r="AU43" s="2"/>
      <c r="AV43" s="27"/>
    </row>
    <row r="44" spans="1:48" x14ac:dyDescent="0.25">
      <c r="A44">
        <f t="shared" si="18"/>
        <v>1995</v>
      </c>
      <c r="C44" s="2">
        <v>80734</v>
      </c>
      <c r="D44" s="28">
        <f t="shared" si="16"/>
        <v>89185.699999999953</v>
      </c>
      <c r="E44" s="2"/>
      <c r="F44" s="2">
        <f t="shared" si="17"/>
        <v>169919.69999999995</v>
      </c>
      <c r="G44" s="2"/>
      <c r="H44" s="2">
        <v>113244</v>
      </c>
      <c r="I44" s="2">
        <v>698</v>
      </c>
      <c r="J44" s="2"/>
      <c r="K44" s="2">
        <f t="shared" si="15"/>
        <v>113942</v>
      </c>
      <c r="L44" s="2"/>
      <c r="M44" s="2"/>
      <c r="N44" s="2">
        <v>572769</v>
      </c>
      <c r="O44" s="28">
        <v>618414.1</v>
      </c>
      <c r="P44" s="29">
        <f t="shared" si="6"/>
        <v>0</v>
      </c>
      <c r="Q44" s="5">
        <f t="shared" si="19"/>
        <v>5.4274464201084758</v>
      </c>
      <c r="R44" s="2"/>
      <c r="S44" s="9">
        <f t="shared" si="20"/>
        <v>16.33939282461062</v>
      </c>
      <c r="U44" s="30"/>
      <c r="W44" s="5">
        <f t="shared" si="7"/>
        <v>1888.3906581963415</v>
      </c>
      <c r="X44" s="9">
        <f t="shared" si="8"/>
        <v>8.6599477985412001</v>
      </c>
      <c r="Y44" s="11">
        <f t="shared" si="9"/>
        <v>36</v>
      </c>
      <c r="Z44" s="9"/>
      <c r="AE44" s="34">
        <v>256</v>
      </c>
      <c r="AG44" s="73">
        <f t="shared" si="14"/>
        <v>1.0223642172523961</v>
      </c>
      <c r="AJ44" s="9">
        <f t="shared" si="4"/>
        <v>13.794468606572273</v>
      </c>
      <c r="AL44" s="5">
        <f t="shared" si="11"/>
        <v>109.47233497205944</v>
      </c>
      <c r="AM44" s="9">
        <f t="shared" si="12"/>
        <v>2.0751872742915678</v>
      </c>
      <c r="AN44" s="11">
        <f t="shared" si="13"/>
        <v>36</v>
      </c>
      <c r="AU44" s="2"/>
      <c r="AV44" s="27"/>
    </row>
    <row r="45" spans="1:48" x14ac:dyDescent="0.25">
      <c r="A45">
        <f t="shared" si="18"/>
        <v>1996</v>
      </c>
      <c r="C45" s="2">
        <v>84897</v>
      </c>
      <c r="D45" s="28">
        <f t="shared" si="16"/>
        <v>100557.09999999998</v>
      </c>
      <c r="E45" s="2">
        <v>366</v>
      </c>
      <c r="F45" s="2">
        <f t="shared" si="17"/>
        <v>185820.09999999998</v>
      </c>
      <c r="G45" s="2"/>
      <c r="H45" s="2">
        <v>117864</v>
      </c>
      <c r="I45" s="2">
        <v>722</v>
      </c>
      <c r="J45" s="2"/>
      <c r="K45" s="2">
        <f t="shared" si="15"/>
        <v>118586</v>
      </c>
      <c r="L45" s="2"/>
      <c r="M45" s="2"/>
      <c r="N45" s="2">
        <v>597392</v>
      </c>
      <c r="O45" s="28">
        <v>685648.2</v>
      </c>
      <c r="P45" s="29">
        <f t="shared" si="6"/>
        <v>0</v>
      </c>
      <c r="Q45" s="5">
        <f t="shared" si="19"/>
        <v>5.7818646383215553</v>
      </c>
      <c r="R45" s="2"/>
      <c r="S45" s="9">
        <f t="shared" si="20"/>
        <v>16.710704698243095</v>
      </c>
      <c r="U45" s="30"/>
      <c r="W45" s="5">
        <f t="shared" si="7"/>
        <v>2220.6647493349847</v>
      </c>
      <c r="X45" s="9">
        <f t="shared" si="8"/>
        <v>8.8700552678144575</v>
      </c>
      <c r="Y45" s="11">
        <f t="shared" si="9"/>
        <v>37</v>
      </c>
      <c r="Z45" s="9"/>
      <c r="AE45" s="32">
        <v>254.9</v>
      </c>
      <c r="AG45" s="73">
        <f t="shared" si="14"/>
        <v>0.99570312500000002</v>
      </c>
      <c r="AJ45" s="9">
        <f t="shared" si="4"/>
        <v>17.214360152021314</v>
      </c>
      <c r="AL45" s="5">
        <f t="shared" si="11"/>
        <v>145.53165713299822</v>
      </c>
      <c r="AM45" s="9">
        <f t="shared" si="12"/>
        <v>2.4574271210537901</v>
      </c>
      <c r="AN45" s="11">
        <f t="shared" si="13"/>
        <v>37</v>
      </c>
      <c r="AU45" s="2"/>
      <c r="AV45" s="27"/>
    </row>
    <row r="46" spans="1:48" x14ac:dyDescent="0.25">
      <c r="A46">
        <f t="shared" si="18"/>
        <v>1997</v>
      </c>
      <c r="C46" s="2">
        <v>87733</v>
      </c>
      <c r="D46" s="28">
        <f t="shared" si="16"/>
        <v>60941.70000000007</v>
      </c>
      <c r="E46" s="2"/>
      <c r="F46" s="2">
        <f t="shared" si="17"/>
        <v>148674.70000000007</v>
      </c>
      <c r="G46" s="2"/>
      <c r="H46" s="2">
        <v>121578</v>
      </c>
      <c r="I46" s="2">
        <v>847</v>
      </c>
      <c r="J46" s="2"/>
      <c r="K46" s="2">
        <f t="shared" si="15"/>
        <v>122425</v>
      </c>
      <c r="L46" s="2"/>
      <c r="M46" s="2"/>
      <c r="N46" s="2">
        <v>619810</v>
      </c>
      <c r="O46" s="28">
        <v>711897.9</v>
      </c>
      <c r="P46" s="29">
        <f t="shared" si="6"/>
        <v>0</v>
      </c>
      <c r="Q46" s="5">
        <f t="shared" si="19"/>
        <v>5.8149716152746578</v>
      </c>
      <c r="R46" s="2"/>
      <c r="S46" s="9">
        <f t="shared" si="20"/>
        <v>9.118883642759231</v>
      </c>
      <c r="U46" s="30"/>
      <c r="W46" s="5">
        <f t="shared" si="7"/>
        <v>2432.2834675653721</v>
      </c>
      <c r="X46" s="9">
        <f t="shared" si="8"/>
        <v>8.8765961077688758</v>
      </c>
      <c r="Y46" s="11">
        <f t="shared" si="9"/>
        <v>38</v>
      </c>
      <c r="Z46" s="9"/>
      <c r="AE46" s="32">
        <v>259.10000000000002</v>
      </c>
      <c r="AG46" s="73">
        <f t="shared" si="14"/>
        <v>1.0164770498234603</v>
      </c>
      <c r="AJ46" s="9">
        <f t="shared" si="4"/>
        <v>7.3500711715141831</v>
      </c>
      <c r="AL46" s="5">
        <f t="shared" si="11"/>
        <v>163.57840868087177</v>
      </c>
      <c r="AM46" s="9">
        <f t="shared" si="12"/>
        <v>2.5832784468451386</v>
      </c>
      <c r="AN46" s="11">
        <f t="shared" si="13"/>
        <v>38</v>
      </c>
      <c r="AU46" s="2"/>
      <c r="AV46" s="27"/>
    </row>
    <row r="47" spans="1:48" x14ac:dyDescent="0.25">
      <c r="A47">
        <f t="shared" si="18"/>
        <v>1998</v>
      </c>
      <c r="C47" s="2">
        <v>92026</v>
      </c>
      <c r="D47" s="28">
        <f t="shared" si="16"/>
        <v>66658.900000000023</v>
      </c>
      <c r="E47" s="2"/>
      <c r="F47" s="2">
        <f t="shared" si="17"/>
        <v>158684.90000000002</v>
      </c>
      <c r="G47" s="2"/>
      <c r="H47" s="2">
        <v>124862</v>
      </c>
      <c r="I47" s="2">
        <v>822</v>
      </c>
      <c r="J47" s="2"/>
      <c r="K47" s="2">
        <f t="shared" si="15"/>
        <v>125684</v>
      </c>
      <c r="L47" s="2"/>
      <c r="M47" s="2"/>
      <c r="N47" s="2">
        <v>641470</v>
      </c>
      <c r="O47" s="28">
        <v>744898.8</v>
      </c>
      <c r="P47" s="29">
        <f t="shared" si="6"/>
        <v>0</v>
      </c>
      <c r="Q47" s="5">
        <f t="shared" si="19"/>
        <v>5.9267591738009617</v>
      </c>
      <c r="R47" s="2"/>
      <c r="S47" s="9">
        <f t="shared" si="20"/>
        <v>9.5902578866641885</v>
      </c>
      <c r="U47" s="30"/>
      <c r="W47" s="5">
        <f t="shared" si="7"/>
        <v>2675.1359825262534</v>
      </c>
      <c r="X47" s="9">
        <f t="shared" si="8"/>
        <v>8.8948369433716756</v>
      </c>
      <c r="Y47" s="11">
        <f t="shared" si="9"/>
        <v>39</v>
      </c>
      <c r="Z47" s="9"/>
      <c r="AE47" s="32">
        <v>256.2</v>
      </c>
      <c r="AG47" s="73">
        <f t="shared" si="14"/>
        <v>0.98880741026630636</v>
      </c>
      <c r="AJ47" s="9">
        <f t="shared" si="4"/>
        <v>10.830740899432833</v>
      </c>
      <c r="AL47" s="5">
        <f t="shared" si="11"/>
        <v>192.12590319194516</v>
      </c>
      <c r="AM47" s="9">
        <f t="shared" si="12"/>
        <v>2.7868824614542875</v>
      </c>
      <c r="AN47" s="11">
        <f t="shared" si="13"/>
        <v>39</v>
      </c>
      <c r="AU47" s="2"/>
      <c r="AV47" s="27"/>
    </row>
    <row r="48" spans="1:48" x14ac:dyDescent="0.25">
      <c r="A48">
        <f t="shared" si="18"/>
        <v>1999</v>
      </c>
      <c r="C48" s="2">
        <v>105204</v>
      </c>
      <c r="D48" s="28">
        <f t="shared" si="16"/>
        <v>77539</v>
      </c>
      <c r="E48" s="2"/>
      <c r="F48" s="2">
        <f t="shared" si="17"/>
        <v>182743</v>
      </c>
      <c r="G48" s="2"/>
      <c r="H48" s="2">
        <v>134961</v>
      </c>
      <c r="I48" s="2">
        <v>1183</v>
      </c>
      <c r="J48" s="2">
        <v>45000</v>
      </c>
      <c r="K48" s="2">
        <f t="shared" si="15"/>
        <v>181144</v>
      </c>
      <c r="L48" s="2"/>
      <c r="M48" s="2"/>
      <c r="N48" s="2">
        <v>619190</v>
      </c>
      <c r="O48" s="28">
        <v>746497.8</v>
      </c>
      <c r="P48" s="29">
        <f t="shared" si="6"/>
        <v>0</v>
      </c>
      <c r="Q48" s="5">
        <f t="shared" si="19"/>
        <v>5.4831487248795394</v>
      </c>
      <c r="R48" s="2"/>
      <c r="S48" s="6">
        <f>D48/(O47+(C48+E48-H48-I48-0.75*J48)/2)*100</f>
        <v>10.881844991914996</v>
      </c>
      <c r="T48" s="10" t="s">
        <v>12</v>
      </c>
      <c r="U48" s="30"/>
      <c r="V48" s="10"/>
      <c r="W48" s="5">
        <f t="shared" si="7"/>
        <v>2977.1219784596178</v>
      </c>
      <c r="X48" s="9">
        <f t="shared" si="8"/>
        <v>8.9440754994595029</v>
      </c>
      <c r="Y48" s="11">
        <f t="shared" si="9"/>
        <v>40</v>
      </c>
      <c r="Z48" s="9"/>
      <c r="AE48" s="32">
        <v>259.60000000000002</v>
      </c>
      <c r="AG48" s="73">
        <f t="shared" si="14"/>
        <v>1.0132708821233414</v>
      </c>
      <c r="AJ48" s="9">
        <f t="shared" si="4"/>
        <v>9.4296174380917428</v>
      </c>
      <c r="AL48" s="5">
        <f t="shared" si="11"/>
        <v>219.67225830051581</v>
      </c>
      <c r="AM48" s="9">
        <f t="shared" si="12"/>
        <v>2.9479312218062548</v>
      </c>
      <c r="AN48" s="11">
        <f t="shared" si="13"/>
        <v>40</v>
      </c>
      <c r="AU48" s="2"/>
      <c r="AV48" s="27"/>
    </row>
    <row r="49" spans="1:48" x14ac:dyDescent="0.25">
      <c r="A49">
        <f t="shared" si="18"/>
        <v>2000</v>
      </c>
      <c r="C49" s="2">
        <v>144275</v>
      </c>
      <c r="D49" s="28">
        <f t="shared" si="16"/>
        <v>28703.199999999953</v>
      </c>
      <c r="E49" s="2"/>
      <c r="F49" s="2">
        <f t="shared" si="17"/>
        <v>172978.19999999995</v>
      </c>
      <c r="G49" s="2"/>
      <c r="H49" s="2">
        <v>138840</v>
      </c>
      <c r="I49" s="2">
        <v>1732</v>
      </c>
      <c r="J49" s="2">
        <v>45000</v>
      </c>
      <c r="K49" s="2">
        <f t="shared" si="15"/>
        <v>185572</v>
      </c>
      <c r="L49" s="2"/>
      <c r="M49" s="2"/>
      <c r="N49" s="2">
        <v>733904</v>
      </c>
      <c r="O49" s="28">
        <v>733904</v>
      </c>
      <c r="P49" s="29">
        <f t="shared" si="6"/>
        <v>0</v>
      </c>
      <c r="Q49" s="5">
        <f t="shared" si="19"/>
        <v>5.2208405656887571</v>
      </c>
      <c r="R49" s="2"/>
      <c r="S49" s="6">
        <f>D49/(O48+(C49+E49-H49-I49-0.75*J49)/2)*100</f>
        <v>3.9240202970904039</v>
      </c>
      <c r="T49" s="10" t="s">
        <v>12</v>
      </c>
      <c r="U49" s="30"/>
      <c r="V49" s="10"/>
      <c r="W49" s="5">
        <f t="shared" si="7"/>
        <v>3097.8688694606026</v>
      </c>
      <c r="X49" s="9">
        <f t="shared" si="8"/>
        <v>8.818796470160617</v>
      </c>
      <c r="Y49" s="11">
        <f t="shared" si="9"/>
        <v>41</v>
      </c>
      <c r="Z49" s="9"/>
      <c r="AE49" s="32">
        <v>262.5</v>
      </c>
      <c r="AG49" s="73">
        <f t="shared" si="14"/>
        <v>1.011171032357473</v>
      </c>
      <c r="AJ49" s="9">
        <f t="shared" si="4"/>
        <v>2.7759073109511201</v>
      </c>
      <c r="AL49" s="5">
        <f t="shared" si="11"/>
        <v>228.54606388976237</v>
      </c>
      <c r="AM49" s="9">
        <f t="shared" si="12"/>
        <v>2.9437320929254662</v>
      </c>
      <c r="AN49" s="11">
        <f t="shared" si="13"/>
        <v>41</v>
      </c>
      <c r="AU49" s="2"/>
      <c r="AV49" s="27"/>
    </row>
    <row r="50" spans="1:48" x14ac:dyDescent="0.25">
      <c r="A50">
        <f t="shared" si="18"/>
        <v>2001</v>
      </c>
      <c r="C50" s="2">
        <v>156811</v>
      </c>
      <c r="D50" s="28">
        <f t="shared" si="16"/>
        <v>-25036</v>
      </c>
      <c r="E50" s="2"/>
      <c r="F50" s="2">
        <f t="shared" si="17"/>
        <v>131775</v>
      </c>
      <c r="G50" s="2"/>
      <c r="H50" s="2">
        <v>143564</v>
      </c>
      <c r="I50" s="2">
        <f>997+946</f>
        <v>1943</v>
      </c>
      <c r="J50" s="2">
        <v>155000</v>
      </c>
      <c r="K50" s="2">
        <f t="shared" si="15"/>
        <v>300507</v>
      </c>
      <c r="L50" s="2"/>
      <c r="M50" s="2"/>
      <c r="N50" s="2">
        <v>565172</v>
      </c>
      <c r="O50" s="2">
        <v>565172</v>
      </c>
      <c r="P50" s="29">
        <f t="shared" si="6"/>
        <v>0</v>
      </c>
      <c r="Q50" s="5">
        <f t="shared" si="19"/>
        <v>3.8841567759626683</v>
      </c>
      <c r="R50" s="2"/>
      <c r="S50" s="6">
        <f>D50/(O49-J50+(C50+E50-H50-I50)/2)*100</f>
        <v>-4.2829087375717636</v>
      </c>
      <c r="T50" s="10" t="s">
        <v>12</v>
      </c>
      <c r="U50" s="30"/>
      <c r="V50" s="10"/>
      <c r="W50" s="5">
        <f t="shared" si="7"/>
        <v>2960.9070642343868</v>
      </c>
      <c r="X50" s="9">
        <f t="shared" si="8"/>
        <v>8.4869212103934508</v>
      </c>
      <c r="Y50" s="11">
        <f t="shared" si="9"/>
        <v>42</v>
      </c>
      <c r="Z50" s="9"/>
      <c r="AA50" s="9">
        <f t="shared" ref="AA50" si="21">((1+S50/100)*(1+AA49/100)-1)*100</f>
        <v>-4.2829087375717663</v>
      </c>
      <c r="AB50" s="9">
        <f t="shared" ref="AB50" si="22">(((1+AA50/100)^(1/AC50))-1)*100</f>
        <v>-4.2829087375717663</v>
      </c>
      <c r="AC50">
        <v>1</v>
      </c>
      <c r="AE50" s="32">
        <v>269.5</v>
      </c>
      <c r="AG50" s="73">
        <f t="shared" si="14"/>
        <v>1.0266666666666666</v>
      </c>
      <c r="AJ50" s="9">
        <f t="shared" si="4"/>
        <v>-6.7690669521802915</v>
      </c>
      <c r="AL50" s="5">
        <f t="shared" si="11"/>
        <v>206.30656085631131</v>
      </c>
      <c r="AM50" s="9">
        <f t="shared" si="12"/>
        <v>2.7011129502289011</v>
      </c>
      <c r="AN50" s="11">
        <f t="shared" si="13"/>
        <v>42</v>
      </c>
      <c r="AP50" s="9">
        <f>((1+AJ50/100)*(1+AP49/100)-1)*100</f>
        <v>-6.7690669521802915</v>
      </c>
      <c r="AQ50" s="9">
        <f t="shared" ref="AQ50" si="23">(((1+AP50/100)^(1/AR50))-1)*100</f>
        <v>-6.7690669521802915</v>
      </c>
      <c r="AR50">
        <v>1</v>
      </c>
      <c r="AU50" s="2"/>
      <c r="AV50" s="27"/>
    </row>
    <row r="51" spans="1:48" x14ac:dyDescent="0.25">
      <c r="A51">
        <f t="shared" si="18"/>
        <v>2002</v>
      </c>
      <c r="C51" s="2">
        <v>160550</v>
      </c>
      <c r="D51" s="2">
        <f>13246-104107+6311+11</f>
        <v>-84539</v>
      </c>
      <c r="E51" s="2"/>
      <c r="F51" s="2">
        <f t="shared" si="17"/>
        <v>76011</v>
      </c>
      <c r="G51" s="2"/>
      <c r="H51" s="2">
        <v>151562</v>
      </c>
      <c r="I51" s="2">
        <f>1051+1030</f>
        <v>2081</v>
      </c>
      <c r="J51" s="2"/>
      <c r="K51" s="2">
        <f t="shared" si="15"/>
        <v>153643</v>
      </c>
      <c r="L51" s="2"/>
      <c r="M51" s="2"/>
      <c r="N51" s="2">
        <v>487540</v>
      </c>
      <c r="O51" s="2">
        <v>487540</v>
      </c>
      <c r="P51" s="29">
        <f t="shared" si="6"/>
        <v>0</v>
      </c>
      <c r="Q51" s="5">
        <f t="shared" si="19"/>
        <v>3.1732002108784649</v>
      </c>
      <c r="R51" s="2"/>
      <c r="S51" s="9">
        <f>D51/(O50+(C51+E51-H51-I51-J51)/2)*100</f>
        <v>-14.867254458338572</v>
      </c>
      <c r="U51" s="30"/>
      <c r="W51" s="5">
        <f t="shared" si="7"/>
        <v>2505.8342222613996</v>
      </c>
      <c r="X51" s="9">
        <f t="shared" si="8"/>
        <v>7.8770334100788153</v>
      </c>
      <c r="Y51" s="11">
        <f t="shared" si="9"/>
        <v>43</v>
      </c>
      <c r="Z51" s="9"/>
      <c r="AA51" s="9">
        <f t="shared" ref="AA51:AA59" si="24">((1+S51/100)*(1+AA50/100)-1)*100</f>
        <v>-18.513412255677132</v>
      </c>
      <c r="AB51" s="9">
        <f t="shared" ref="AB51:AB59" si="25">(((1+AA51/100)^(1/AC51))-1)*100</f>
        <v>-9.7300782406881332</v>
      </c>
      <c r="AC51" s="11">
        <f t="shared" ref="AC51:AC69" si="26">AC50+1</f>
        <v>2</v>
      </c>
      <c r="AD51" s="11"/>
      <c r="AE51" s="32">
        <v>275.10000000000002</v>
      </c>
      <c r="AF51" s="2"/>
      <c r="AG51" s="73">
        <f t="shared" si="14"/>
        <v>1.0207792207792208</v>
      </c>
      <c r="AJ51" s="9">
        <f t="shared" si="4"/>
        <v>-16.600236555878755</v>
      </c>
      <c r="AK51" s="9"/>
      <c r="AL51" s="5">
        <f t="shared" si="11"/>
        <v>155.45894716798693</v>
      </c>
      <c r="AM51" s="9">
        <f t="shared" si="12"/>
        <v>2.2051039186600674</v>
      </c>
      <c r="AN51" s="11">
        <f t="shared" si="13"/>
        <v>43</v>
      </c>
      <c r="AO51" s="9"/>
      <c r="AP51" s="9">
        <f>((1+AJ51/100)*(1+AP50/100)-1)*100</f>
        <v>-22.245622381371312</v>
      </c>
      <c r="AQ51" s="9">
        <f t="shared" ref="AQ51:AQ59" si="27">(((1+AP51/100)^(1/AR51))-1)*100</f>
        <v>-11.821557272409999</v>
      </c>
      <c r="AR51" s="11">
        <f t="shared" ref="AR51:AR69" si="28">AR50+1</f>
        <v>2</v>
      </c>
      <c r="AS51" s="9"/>
      <c r="AT51" s="9"/>
      <c r="AU51" s="2"/>
      <c r="AV51" s="27"/>
    </row>
    <row r="52" spans="1:48" x14ac:dyDescent="0.25">
      <c r="A52">
        <v>2003</v>
      </c>
      <c r="C52" s="2">
        <v>165107</v>
      </c>
      <c r="D52" s="2">
        <f>11774+63034+7217+34</f>
        <v>82059</v>
      </c>
      <c r="F52" s="2">
        <f t="shared" si="17"/>
        <v>247166</v>
      </c>
      <c r="H52" s="2">
        <v>155410</v>
      </c>
      <c r="I52" s="2">
        <f>1125+1234</f>
        <v>2359</v>
      </c>
      <c r="K52" s="2">
        <f t="shared" si="15"/>
        <v>157769</v>
      </c>
      <c r="M52" s="2"/>
      <c r="N52" s="2">
        <v>576937</v>
      </c>
      <c r="O52" s="2">
        <v>576937</v>
      </c>
      <c r="P52" s="29">
        <f t="shared" si="6"/>
        <v>0</v>
      </c>
      <c r="Q52" s="5">
        <f t="shared" si="19"/>
        <v>3.6568464020181404</v>
      </c>
      <c r="S52" s="9">
        <f>D52/(O51+(C52+E52-H52-I52-J52)/2)*100</f>
        <v>16.705516389154106</v>
      </c>
      <c r="U52" s="30"/>
      <c r="W52" s="5">
        <f t="shared" si="7"/>
        <v>2941.1522853354645</v>
      </c>
      <c r="X52" s="9">
        <f t="shared" si="8"/>
        <v>8.0700650567736343</v>
      </c>
      <c r="Y52" s="11">
        <f t="shared" si="9"/>
        <v>44</v>
      </c>
      <c r="Z52" s="9"/>
      <c r="AA52" s="9">
        <f t="shared" si="24"/>
        <v>-4.900656985086826</v>
      </c>
      <c r="AB52" s="9">
        <f t="shared" si="25"/>
        <v>-1.6609884040872269</v>
      </c>
      <c r="AC52" s="11">
        <f t="shared" si="26"/>
        <v>3</v>
      </c>
      <c r="AD52" s="11"/>
      <c r="AE52" s="32">
        <v>278.60000000000002</v>
      </c>
      <c r="AF52" s="2"/>
      <c r="AG52" s="73">
        <f t="shared" si="14"/>
        <v>1.0127226463104326</v>
      </c>
      <c r="AJ52" s="9">
        <f t="shared" si="4"/>
        <v>15.239366685772771</v>
      </c>
      <c r="AK52" s="9"/>
      <c r="AL52" s="5">
        <f t="shared" si="11"/>
        <v>194.38927285853097</v>
      </c>
      <c r="AM52" s="9">
        <f t="shared" si="12"/>
        <v>2.4842949627129629</v>
      </c>
      <c r="AN52" s="11">
        <f t="shared" si="13"/>
        <v>44</v>
      </c>
      <c r="AO52" s="9"/>
      <c r="AP52" s="9">
        <f t="shared" ref="AP52:AP59" si="29">((1+AJ52/100)*(1+AP51/100)-1)*100</f>
        <v>-10.396347661828054</v>
      </c>
      <c r="AQ52" s="9">
        <f t="shared" si="27"/>
        <v>-3.5929995319510244</v>
      </c>
      <c r="AR52" s="11">
        <f t="shared" si="28"/>
        <v>3</v>
      </c>
      <c r="AS52" s="9"/>
      <c r="AT52" s="9"/>
      <c r="AU52" s="2"/>
      <c r="AV52" s="27"/>
    </row>
    <row r="53" spans="1:48" x14ac:dyDescent="0.25">
      <c r="A53">
        <v>2004</v>
      </c>
      <c r="C53" s="2">
        <v>171600</v>
      </c>
      <c r="D53" s="2">
        <v>65162</v>
      </c>
      <c r="F53" s="2">
        <f t="shared" si="17"/>
        <v>236762</v>
      </c>
      <c r="H53" s="2">
        <v>163162</v>
      </c>
      <c r="I53" s="2">
        <v>2737</v>
      </c>
      <c r="J53" s="2">
        <v>1600</v>
      </c>
      <c r="K53" s="2">
        <f t="shared" si="15"/>
        <v>167499</v>
      </c>
      <c r="M53" s="2"/>
      <c r="N53" s="2">
        <v>646200</v>
      </c>
      <c r="O53" s="2">
        <v>646200</v>
      </c>
      <c r="P53" s="29">
        <f t="shared" si="6"/>
        <v>0</v>
      </c>
      <c r="Q53" s="5">
        <f t="shared" si="19"/>
        <v>3.8951410195359828</v>
      </c>
      <c r="S53" s="6">
        <f>D53/(O52+(C53+E53-H53-I53)/2)*100</f>
        <v>11.238945303236099</v>
      </c>
      <c r="T53" s="10" t="s">
        <v>12</v>
      </c>
      <c r="U53" s="30"/>
      <c r="V53" s="10"/>
      <c r="W53" s="5">
        <f t="shared" si="7"/>
        <v>3282.9457272724321</v>
      </c>
      <c r="X53" s="9">
        <f t="shared" si="8"/>
        <v>8.1394942218081958</v>
      </c>
      <c r="Y53" s="11">
        <f t="shared" si="9"/>
        <v>45</v>
      </c>
      <c r="Z53" s="9"/>
      <c r="AA53" s="9">
        <f t="shared" si="24"/>
        <v>5.7875061600961564</v>
      </c>
      <c r="AB53" s="9">
        <f t="shared" si="25"/>
        <v>1.4164944712831362</v>
      </c>
      <c r="AC53" s="11">
        <f t="shared" si="26"/>
        <v>4</v>
      </c>
      <c r="AD53" s="11"/>
      <c r="AE53" s="32">
        <v>279.39999999999998</v>
      </c>
      <c r="AF53" s="2"/>
      <c r="AG53" s="73">
        <f t="shared" si="14"/>
        <v>1.0028715003589375</v>
      </c>
      <c r="AJ53" s="9">
        <f t="shared" si="4"/>
        <v>10.920437227922619</v>
      </c>
      <c r="AK53" s="9"/>
      <c r="AL53" s="5">
        <f t="shared" si="11"/>
        <v>226.53786860678471</v>
      </c>
      <c r="AM53" s="9">
        <f t="shared" si="12"/>
        <v>2.6646062020279526</v>
      </c>
      <c r="AN53" s="11">
        <f t="shared" si="13"/>
        <v>45</v>
      </c>
      <c r="AO53" s="9"/>
      <c r="AP53" s="9">
        <f t="shared" si="29"/>
        <v>-0.61123705431196385</v>
      </c>
      <c r="AQ53" s="9">
        <f t="shared" si="27"/>
        <v>-0.15316077778535497</v>
      </c>
      <c r="AR53" s="11">
        <f t="shared" si="28"/>
        <v>4</v>
      </c>
      <c r="AS53" s="9"/>
      <c r="AT53" s="9"/>
      <c r="AU53" s="2"/>
      <c r="AV53" s="27"/>
    </row>
    <row r="54" spans="1:48" x14ac:dyDescent="0.25">
      <c r="A54">
        <v>2005</v>
      </c>
      <c r="C54" s="2">
        <v>179552</v>
      </c>
      <c r="D54" s="2">
        <v>114397</v>
      </c>
      <c r="F54" s="2">
        <f t="shared" si="17"/>
        <v>293949</v>
      </c>
      <c r="H54" s="2">
        <v>169128</v>
      </c>
      <c r="I54" s="2">
        <v>1831</v>
      </c>
      <c r="J54" s="2"/>
      <c r="K54" s="2">
        <f t="shared" si="15"/>
        <v>170959</v>
      </c>
      <c r="M54" s="2"/>
      <c r="N54" s="2">
        <v>769190</v>
      </c>
      <c r="O54" s="2">
        <v>769190</v>
      </c>
      <c r="P54" s="29">
        <f t="shared" si="6"/>
        <v>0</v>
      </c>
      <c r="Q54" s="5">
        <f t="shared" si="19"/>
        <v>4.4992659058604696</v>
      </c>
      <c r="S54" s="9">
        <f t="shared" ref="S54:S62" si="30">D54/(O53+(C54+E54-H54-I54-J54)/2)*100</f>
        <v>17.586105382580843</v>
      </c>
      <c r="T54" s="9"/>
      <c r="U54" s="30"/>
      <c r="W54" s="5">
        <f t="shared" si="7"/>
        <v>3877.8741279060782</v>
      </c>
      <c r="X54" s="9">
        <f t="shared" si="8"/>
        <v>8.3365553038068576</v>
      </c>
      <c r="Y54" s="11">
        <f t="shared" si="9"/>
        <v>46</v>
      </c>
      <c r="Z54" s="9"/>
      <c r="AA54" s="9">
        <f t="shared" si="24"/>
        <v>24.391408475014885</v>
      </c>
      <c r="AB54" s="9">
        <f t="shared" si="25"/>
        <v>4.4619376073584238</v>
      </c>
      <c r="AC54" s="11">
        <f t="shared" si="26"/>
        <v>5</v>
      </c>
      <c r="AD54" s="11"/>
      <c r="AE54" s="32">
        <v>281.8</v>
      </c>
      <c r="AF54" s="2"/>
      <c r="AG54" s="73">
        <f t="shared" si="14"/>
        <v>1.0085898353614891</v>
      </c>
      <c r="AJ54" s="9">
        <f t="shared" si="4"/>
        <v>16.584662327512724</v>
      </c>
      <c r="AK54" s="9"/>
      <c r="AL54" s="5">
        <f t="shared" si="11"/>
        <v>280.69307148667713</v>
      </c>
      <c r="AM54" s="9">
        <f t="shared" si="12"/>
        <v>2.948777797136537</v>
      </c>
      <c r="AN54" s="11">
        <f t="shared" si="13"/>
        <v>46</v>
      </c>
      <c r="AO54" s="9"/>
      <c r="AP54" s="9">
        <f t="shared" si="29"/>
        <v>15.872053671722487</v>
      </c>
      <c r="AQ54" s="9">
        <f t="shared" si="27"/>
        <v>2.9901619013406489</v>
      </c>
      <c r="AR54" s="11">
        <f t="shared" si="28"/>
        <v>5</v>
      </c>
      <c r="AS54" s="9"/>
      <c r="AT54" s="9"/>
      <c r="AU54" s="2"/>
      <c r="AV54" s="27"/>
    </row>
    <row r="55" spans="1:48" x14ac:dyDescent="0.25">
      <c r="A55">
        <v>2006</v>
      </c>
      <c r="C55" s="2">
        <v>183624</v>
      </c>
      <c r="D55" s="2">
        <v>83156</v>
      </c>
      <c r="F55" s="2">
        <f t="shared" si="17"/>
        <v>266780</v>
      </c>
      <c r="H55" s="2">
        <v>176156</v>
      </c>
      <c r="I55" s="2">
        <v>1877</v>
      </c>
      <c r="J55" s="2"/>
      <c r="K55" s="2">
        <f t="shared" si="15"/>
        <v>178033</v>
      </c>
      <c r="M55" s="2"/>
      <c r="N55" s="2">
        <v>857937</v>
      </c>
      <c r="O55" s="2">
        <v>857937</v>
      </c>
      <c r="P55" s="29">
        <f t="shared" si="6"/>
        <v>0</v>
      </c>
      <c r="Q55" s="5">
        <f t="shared" si="19"/>
        <v>4.8189773805979792</v>
      </c>
      <c r="S55" s="9">
        <f t="shared" si="30"/>
        <v>10.771704908965258</v>
      </c>
      <c r="T55" s="22"/>
      <c r="U55" s="30"/>
      <c r="V55" s="21"/>
      <c r="W55" s="23">
        <f t="shared" si="7"/>
        <v>4306.358990614196</v>
      </c>
      <c r="X55" s="22">
        <f t="shared" si="8"/>
        <v>8.3878053951518048</v>
      </c>
      <c r="Y55" s="24">
        <f t="shared" si="9"/>
        <v>47</v>
      </c>
      <c r="Z55" s="22"/>
      <c r="AA55" s="22">
        <f t="shared" si="24"/>
        <v>37.790483928049092</v>
      </c>
      <c r="AB55" s="22">
        <f t="shared" si="25"/>
        <v>5.4880354225930184</v>
      </c>
      <c r="AC55" s="24">
        <f t="shared" si="26"/>
        <v>6</v>
      </c>
      <c r="AD55" s="24"/>
      <c r="AE55" s="25">
        <v>286.43</v>
      </c>
      <c r="AF55" s="26"/>
      <c r="AG55" s="73">
        <f t="shared" si="14"/>
        <v>1.016430092264017</v>
      </c>
      <c r="AJ55" s="9">
        <f t="shared" si="4"/>
        <v>8.981134809015856</v>
      </c>
      <c r="AK55" s="22"/>
      <c r="AL55" s="23">
        <f t="shared" si="11"/>
        <v>314.88362944547868</v>
      </c>
      <c r="AM55" s="22">
        <f t="shared" si="12"/>
        <v>3.0735818107361146</v>
      </c>
      <c r="AN55" s="24">
        <f t="shared" si="13"/>
        <v>47</v>
      </c>
      <c r="AO55" s="9"/>
      <c r="AP55" s="9">
        <f t="shared" si="29"/>
        <v>26.278679017955085</v>
      </c>
      <c r="AQ55" s="9">
        <f t="shared" si="27"/>
        <v>3.965282587802843</v>
      </c>
      <c r="AR55" s="11">
        <f t="shared" si="28"/>
        <v>6</v>
      </c>
      <c r="AS55" s="9"/>
      <c r="AT55" s="9"/>
      <c r="AU55" s="2"/>
      <c r="AV55" s="27"/>
    </row>
    <row r="56" spans="1:48" x14ac:dyDescent="0.25">
      <c r="A56">
        <v>2007</v>
      </c>
      <c r="C56" s="2">
        <v>190416</v>
      </c>
      <c r="D56" s="2">
        <v>37292</v>
      </c>
      <c r="F56" s="2">
        <f t="shared" si="17"/>
        <v>227708</v>
      </c>
      <c r="H56" s="2">
        <v>185653</v>
      </c>
      <c r="I56" s="2">
        <v>1520</v>
      </c>
      <c r="J56" s="2"/>
      <c r="K56" s="2">
        <f t="shared" si="15"/>
        <v>187173</v>
      </c>
      <c r="M56" s="2"/>
      <c r="N56" s="2">
        <v>898472</v>
      </c>
      <c r="O56" s="2">
        <v>898472</v>
      </c>
      <c r="P56" s="29">
        <f t="shared" si="6"/>
        <v>0</v>
      </c>
      <c r="Q56" s="5">
        <f t="shared" si="19"/>
        <v>4.8002222542781281</v>
      </c>
      <c r="S56" s="9">
        <f t="shared" si="30"/>
        <v>4.338506337846697</v>
      </c>
      <c r="T56" s="22"/>
      <c r="U56" s="30"/>
      <c r="V56" s="21"/>
      <c r="W56" s="23">
        <f t="shared" si="7"/>
        <v>4497.5291546902708</v>
      </c>
      <c r="X56" s="22">
        <f t="shared" si="8"/>
        <v>8.3018628820380478</v>
      </c>
      <c r="Y56" s="24">
        <f t="shared" si="9"/>
        <v>48</v>
      </c>
      <c r="Z56" s="22"/>
      <c r="AA56" s="22">
        <f t="shared" si="24"/>
        <v>43.768532806217131</v>
      </c>
      <c r="AB56" s="22">
        <f t="shared" si="25"/>
        <v>5.3230448266854413</v>
      </c>
      <c r="AC56" s="24">
        <f t="shared" si="26"/>
        <v>7</v>
      </c>
      <c r="AD56" s="24"/>
      <c r="AE56" s="25">
        <v>296.32</v>
      </c>
      <c r="AF56" s="26"/>
      <c r="AG56" s="73">
        <f t="shared" si="14"/>
        <v>1.0345285060922389</v>
      </c>
      <c r="AJ56" s="9">
        <f t="shared" si="4"/>
        <v>0.85609601224834186</v>
      </c>
      <c r="AK56" s="22"/>
      <c r="AL56" s="23">
        <f t="shared" si="11"/>
        <v>318.43543165263259</v>
      </c>
      <c r="AM56" s="22">
        <f t="shared" si="12"/>
        <v>3.0268905851073002</v>
      </c>
      <c r="AN56" s="24">
        <f t="shared" si="13"/>
        <v>48</v>
      </c>
      <c r="AO56" s="9"/>
      <c r="AP56" s="9">
        <f t="shared" si="29"/>
        <v>27.359745753347674</v>
      </c>
      <c r="AQ56" s="9">
        <f t="shared" si="27"/>
        <v>3.5153125204568703</v>
      </c>
      <c r="AR56" s="11">
        <f t="shared" si="28"/>
        <v>7</v>
      </c>
      <c r="AS56" s="9"/>
      <c r="AT56" s="9"/>
      <c r="AU56" s="2"/>
      <c r="AV56" s="27"/>
    </row>
    <row r="57" spans="1:48" x14ac:dyDescent="0.25">
      <c r="A57" s="7">
        <v>2008</v>
      </c>
      <c r="B57" s="7"/>
      <c r="C57" s="8">
        <v>203140</v>
      </c>
      <c r="D57" s="8">
        <v>-193935</v>
      </c>
      <c r="E57" s="7"/>
      <c r="F57" s="2">
        <f t="shared" si="17"/>
        <v>9205</v>
      </c>
      <c r="G57" s="7"/>
      <c r="H57" s="8">
        <v>199206</v>
      </c>
      <c r="I57" s="8">
        <v>1384</v>
      </c>
      <c r="J57" s="8"/>
      <c r="K57" s="8">
        <f t="shared" si="15"/>
        <v>200590</v>
      </c>
      <c r="L57" s="7"/>
      <c r="M57" s="8"/>
      <c r="N57" s="8">
        <f>N56+F57-K57</f>
        <v>707087</v>
      </c>
      <c r="O57" s="8">
        <v>707087</v>
      </c>
      <c r="P57" s="29">
        <f t="shared" si="6"/>
        <v>0</v>
      </c>
      <c r="Q57" s="5">
        <f t="shared" si="19"/>
        <v>3.5250361433770379</v>
      </c>
      <c r="S57" s="9">
        <f t="shared" si="30"/>
        <v>-21.554392512561865</v>
      </c>
      <c r="T57" s="22"/>
      <c r="U57" s="30"/>
      <c r="V57" s="21"/>
      <c r="W57" s="23">
        <f t="shared" si="7"/>
        <v>3506.5596748088628</v>
      </c>
      <c r="X57" s="22">
        <f t="shared" si="8"/>
        <v>7.591363332051948</v>
      </c>
      <c r="Y57" s="24">
        <f t="shared" si="9"/>
        <v>49</v>
      </c>
      <c r="Z57" s="22"/>
      <c r="AA57" s="22">
        <f t="shared" si="24"/>
        <v>12.780098935613825</v>
      </c>
      <c r="AB57" s="22">
        <f t="shared" si="25"/>
        <v>1.5147288414373072</v>
      </c>
      <c r="AC57" s="24">
        <f t="shared" si="26"/>
        <v>8</v>
      </c>
      <c r="AD57" s="24"/>
      <c r="AE57" s="25">
        <v>298.99</v>
      </c>
      <c r="AF57" s="26"/>
      <c r="AG57" s="73">
        <f t="shared" si="14"/>
        <v>1.0090105291576674</v>
      </c>
      <c r="AJ57" s="9">
        <f t="shared" si="4"/>
        <v>-22.254916851139939</v>
      </c>
      <c r="AK57" s="22"/>
      <c r="AL57" s="23">
        <f t="shared" si="11"/>
        <v>225.31297426263072</v>
      </c>
      <c r="AM57" s="22">
        <f t="shared" si="12"/>
        <v>2.4365941124118606</v>
      </c>
      <c r="AN57" s="24">
        <f t="shared" si="13"/>
        <v>49</v>
      </c>
      <c r="AO57" s="9"/>
      <c r="AP57" s="9">
        <f t="shared" si="29"/>
        <v>-0.98405976588308297</v>
      </c>
      <c r="AQ57" s="9">
        <f t="shared" si="27"/>
        <v>-0.12354033038546319</v>
      </c>
      <c r="AR57" s="11">
        <f t="shared" si="28"/>
        <v>8</v>
      </c>
      <c r="AS57" s="9"/>
      <c r="AT57" s="9"/>
      <c r="AU57" s="2"/>
      <c r="AV57" s="27"/>
    </row>
    <row r="58" spans="1:48" x14ac:dyDescent="0.25">
      <c r="A58" s="7">
        <v>2009</v>
      </c>
      <c r="B58" s="7"/>
      <c r="C58" s="8">
        <v>202712</v>
      </c>
      <c r="D58" s="8">
        <v>136412</v>
      </c>
      <c r="E58" s="7"/>
      <c r="F58" s="2">
        <f t="shared" si="17"/>
        <v>339124</v>
      </c>
      <c r="G58" s="7"/>
      <c r="H58" s="8">
        <v>217412</v>
      </c>
      <c r="I58" s="8">
        <v>1730</v>
      </c>
      <c r="J58" s="8"/>
      <c r="K58" s="8">
        <f t="shared" si="15"/>
        <v>219142</v>
      </c>
      <c r="L58" s="7"/>
      <c r="M58" s="8"/>
      <c r="N58" s="8">
        <f>N57+F58-K58</f>
        <v>827069</v>
      </c>
      <c r="O58" s="8">
        <v>827069</v>
      </c>
      <c r="P58" s="29">
        <f t="shared" si="6"/>
        <v>0</v>
      </c>
      <c r="Q58" s="5">
        <f t="shared" si="19"/>
        <v>3.7741236276021941</v>
      </c>
      <c r="S58" s="9">
        <f t="shared" si="30"/>
        <v>19.518881855332594</v>
      </c>
      <c r="T58" s="22"/>
      <c r="U58" s="30"/>
      <c r="V58" s="21"/>
      <c r="W58" s="23">
        <f t="shared" si="7"/>
        <v>4210.5197967768727</v>
      </c>
      <c r="X58" s="22">
        <f t="shared" si="8"/>
        <v>7.8178315256244302</v>
      </c>
      <c r="Y58" s="24">
        <f t="shared" si="9"/>
        <v>50</v>
      </c>
      <c r="Z58" s="22"/>
      <c r="AA58" s="22">
        <f t="shared" si="24"/>
        <v>34.793513203183494</v>
      </c>
      <c r="AB58" s="22">
        <f t="shared" si="25"/>
        <v>3.373129888417159</v>
      </c>
      <c r="AC58" s="24">
        <f t="shared" si="26"/>
        <v>9</v>
      </c>
      <c r="AD58" s="24"/>
      <c r="AE58" s="25">
        <v>301.69</v>
      </c>
      <c r="AF58" s="26"/>
      <c r="AG58" s="73">
        <f t="shared" si="14"/>
        <v>1.0090304023545937</v>
      </c>
      <c r="AJ58" s="9">
        <f t="shared" si="4"/>
        <v>18.449237581377886</v>
      </c>
      <c r="AK58" s="22"/>
      <c r="AL58" s="23">
        <f t="shared" si="11"/>
        <v>285.33073776739013</v>
      </c>
      <c r="AM58" s="22">
        <f t="shared" si="12"/>
        <v>2.7345855106460037</v>
      </c>
      <c r="AN58" s="24">
        <f t="shared" si="13"/>
        <v>50</v>
      </c>
      <c r="AO58" s="9"/>
      <c r="AP58" s="9">
        <f t="shared" si="29"/>
        <v>17.283626291344277</v>
      </c>
      <c r="AQ58" s="9">
        <f t="shared" si="27"/>
        <v>1.7871707108729762</v>
      </c>
      <c r="AR58" s="11">
        <f t="shared" si="28"/>
        <v>9</v>
      </c>
      <c r="AS58" s="9"/>
      <c r="AT58" s="9"/>
      <c r="AU58" s="2"/>
      <c r="AV58" s="27"/>
    </row>
    <row r="59" spans="1:48" x14ac:dyDescent="0.25">
      <c r="A59" s="7">
        <v>2010</v>
      </c>
      <c r="B59" s="7"/>
      <c r="C59" s="8">
        <v>205068</v>
      </c>
      <c r="D59" s="8">
        <v>84796</v>
      </c>
      <c r="E59" s="7"/>
      <c r="F59" s="2">
        <f t="shared" si="17"/>
        <v>289864</v>
      </c>
      <c r="G59" s="7"/>
      <c r="H59" s="8">
        <v>220203</v>
      </c>
      <c r="I59" s="8">
        <v>1849</v>
      </c>
      <c r="J59" s="8"/>
      <c r="K59" s="8">
        <f t="shared" si="15"/>
        <v>222052</v>
      </c>
      <c r="L59" s="7"/>
      <c r="M59" s="8"/>
      <c r="N59" s="8">
        <f>N58+F59-K59</f>
        <v>894881</v>
      </c>
      <c r="O59" s="8">
        <v>894881</v>
      </c>
      <c r="P59" s="29">
        <f t="shared" si="6"/>
        <v>0</v>
      </c>
      <c r="Q59" s="5">
        <f t="shared" si="19"/>
        <v>4.0300515194639095</v>
      </c>
      <c r="S59" s="9">
        <f t="shared" si="30"/>
        <v>10.358952181651818</v>
      </c>
      <c r="T59" s="22"/>
      <c r="U59" s="30"/>
      <c r="V59" s="21"/>
      <c r="W59" s="23">
        <f t="shared" si="7"/>
        <v>4657.0444813056238</v>
      </c>
      <c r="X59" s="22">
        <f t="shared" si="8"/>
        <v>7.8670905711710093</v>
      </c>
      <c r="Y59" s="24">
        <f t="shared" si="9"/>
        <v>51</v>
      </c>
      <c r="Z59" s="22"/>
      <c r="AA59" s="22">
        <f t="shared" si="24"/>
        <v>48.756708779869797</v>
      </c>
      <c r="AB59" s="22">
        <f t="shared" si="25"/>
        <v>4.0513348654531711</v>
      </c>
      <c r="AC59" s="24">
        <f t="shared" si="26"/>
        <v>10</v>
      </c>
      <c r="AD59" s="24"/>
      <c r="AE59" s="25">
        <v>308.73</v>
      </c>
      <c r="AF59" s="26"/>
      <c r="AG59" s="73">
        <f t="shared" si="14"/>
        <v>1.0233352116410885</v>
      </c>
      <c r="AJ59" s="9">
        <f t="shared" si="4"/>
        <v>7.8424263391394966</v>
      </c>
      <c r="AK59" s="22"/>
      <c r="AL59" s="23">
        <f t="shared" si="11"/>
        <v>315.55001703886052</v>
      </c>
      <c r="AM59" s="22">
        <f t="shared" si="12"/>
        <v>2.832375568013612</v>
      </c>
      <c r="AN59" s="24">
        <f t="shared" si="13"/>
        <v>51</v>
      </c>
      <c r="AO59" s="9"/>
      <c r="AP59" s="9">
        <f t="shared" si="29"/>
        <v>26.481508291114597</v>
      </c>
      <c r="AQ59" s="9">
        <f t="shared" si="27"/>
        <v>2.3770717851273604</v>
      </c>
      <c r="AR59" s="11">
        <f t="shared" si="28"/>
        <v>10</v>
      </c>
      <c r="AS59" s="9"/>
      <c r="AT59" s="9"/>
      <c r="AU59" s="2"/>
      <c r="AV59" s="27"/>
    </row>
    <row r="60" spans="1:48" x14ac:dyDescent="0.25">
      <c r="A60" s="7">
        <v>2011</v>
      </c>
      <c r="B60" s="7"/>
      <c r="C60" s="2">
        <v>215575</v>
      </c>
      <c r="D60" s="2">
        <v>-16537</v>
      </c>
      <c r="E60" s="2"/>
      <c r="F60" s="2">
        <f t="shared" si="17"/>
        <v>199038</v>
      </c>
      <c r="G60" s="7"/>
      <c r="H60" s="8">
        <v>219682</v>
      </c>
      <c r="I60" s="8">
        <v>1644</v>
      </c>
      <c r="J60" s="8"/>
      <c r="K60" s="8">
        <f t="shared" si="15"/>
        <v>221326</v>
      </c>
      <c r="L60" s="7"/>
      <c r="M60" s="8"/>
      <c r="N60" s="8">
        <f>N59+F60-K60</f>
        <v>872593</v>
      </c>
      <c r="O60" s="8">
        <v>872593</v>
      </c>
      <c r="P60" s="29">
        <f t="shared" si="6"/>
        <v>0</v>
      </c>
      <c r="Q60" s="5">
        <f t="shared" si="19"/>
        <v>3.9425688802942265</v>
      </c>
      <c r="S60" s="9">
        <f t="shared" si="30"/>
        <v>-1.8539123357423244</v>
      </c>
      <c r="T60" s="22"/>
      <c r="U60" s="30"/>
      <c r="V60" s="21"/>
      <c r="W60" s="23">
        <f t="shared" ref="W60" si="31">((1+S60/100)*(1+W59/100)-1)*100</f>
        <v>4568.8530468499494</v>
      </c>
      <c r="X60" s="22">
        <f t="shared" ref="X60" si="32">(((1+W60/100)^(1/Y60))-1)*100</f>
        <v>7.6713593974257144</v>
      </c>
      <c r="Y60" s="24">
        <f t="shared" si="9"/>
        <v>52</v>
      </c>
      <c r="Z60" s="22"/>
      <c r="AA60" s="22">
        <f t="shared" ref="AA60" si="33">((1+S60/100)*(1+AA59/100)-1)*100</f>
        <v>45.998889805555507</v>
      </c>
      <c r="AB60" s="22">
        <f t="shared" ref="AB60" si="34">(((1+AA60/100)^(1/AC60))-1)*100</f>
        <v>3.5001236141616321</v>
      </c>
      <c r="AC60" s="24">
        <f t="shared" si="26"/>
        <v>11</v>
      </c>
      <c r="AD60" s="24"/>
      <c r="AE60" s="25">
        <v>314.77999999999997</v>
      </c>
      <c r="AF60" s="26"/>
      <c r="AG60" s="73">
        <f t="shared" si="14"/>
        <v>1.0195964111035531</v>
      </c>
      <c r="AJ60" s="9">
        <f t="shared" ref="AJ60" si="35">(((1+S60/100)/AG60)-1)*100</f>
        <v>-3.7402578162962219</v>
      </c>
      <c r="AK60" s="22"/>
      <c r="AL60" s="23">
        <f t="shared" ref="AL60" si="36">((1+AJ60/100)*(1+AL59/100)-1)*100</f>
        <v>300.00737504594417</v>
      </c>
      <c r="AM60" s="22">
        <f t="shared" ref="AM60" si="37">(((1+AL60/100)^(1/AN60))-1)*100</f>
        <v>2.7018414854773631</v>
      </c>
      <c r="AN60" s="24">
        <f t="shared" si="13"/>
        <v>52</v>
      </c>
      <c r="AO60" s="9"/>
      <c r="AP60" s="9">
        <f t="shared" ref="AP60" si="38">((1+AJ60/100)*(1+AP59/100)-1)*100</f>
        <v>21.750773791086829</v>
      </c>
      <c r="AQ60" s="9">
        <f t="shared" ref="AQ60" si="39">(((1+AP60/100)^(1/AR60))-1)*100</f>
        <v>1.8052459087463113</v>
      </c>
      <c r="AR60" s="11">
        <f t="shared" si="28"/>
        <v>11</v>
      </c>
      <c r="AS60" s="9"/>
      <c r="AT60" s="9"/>
      <c r="AU60" s="2"/>
      <c r="AV60" s="27"/>
    </row>
    <row r="61" spans="1:48" x14ac:dyDescent="0.25">
      <c r="A61" s="7">
        <v>2012</v>
      </c>
      <c r="C61" s="56">
        <v>221765</v>
      </c>
      <c r="D61" s="2">
        <v>101395</v>
      </c>
      <c r="F61" s="2">
        <f t="shared" si="17"/>
        <v>323160</v>
      </c>
      <c r="H61" s="8">
        <v>236039</v>
      </c>
      <c r="I61" s="8">
        <v>1724</v>
      </c>
      <c r="K61" s="8">
        <f t="shared" si="15"/>
        <v>237763</v>
      </c>
      <c r="N61" s="8">
        <f>N60+F61-K61</f>
        <v>957990</v>
      </c>
      <c r="O61" s="8">
        <v>957990</v>
      </c>
      <c r="P61" s="29">
        <f t="shared" si="6"/>
        <v>0</v>
      </c>
      <c r="Q61" s="5">
        <f t="shared" si="19"/>
        <v>4.0291803182160386</v>
      </c>
      <c r="S61" s="9">
        <f t="shared" si="30"/>
        <v>11.727469771939198</v>
      </c>
      <c r="T61" s="21"/>
      <c r="U61" s="21"/>
      <c r="V61" s="21"/>
      <c r="W61" s="23">
        <f t="shared" ref="W61:W62" si="40">((1+S61/100)*(1+W60/100)-1)*100</f>
        <v>5116.3913766155392</v>
      </c>
      <c r="X61" s="22">
        <f t="shared" ref="X61:X62" si="41">(((1+W61/100)^(1/Y61))-1)*100</f>
        <v>7.7465097085206436</v>
      </c>
      <c r="Y61" s="24">
        <f t="shared" si="9"/>
        <v>53</v>
      </c>
      <c r="Z61" s="22"/>
      <c r="AA61" s="22">
        <f t="shared" ref="AA61:AA62" si="42">((1+S61/100)*(1+AA60/100)-1)*100</f>
        <v>63.120865474868836</v>
      </c>
      <c r="AB61" s="22">
        <f t="shared" ref="AB61:AB62" si="43">(((1+AA61/100)^(1/AC61))-1)*100</f>
        <v>4.1619559379145077</v>
      </c>
      <c r="AC61" s="24">
        <f t="shared" si="26"/>
        <v>12</v>
      </c>
      <c r="AD61" s="24"/>
      <c r="AE61" s="57">
        <v>314.61</v>
      </c>
      <c r="AF61" s="26"/>
      <c r="AG61" s="73">
        <f t="shared" ref="AG61:AG62" si="44">AE61/AE60</f>
        <v>0.99945994027574825</v>
      </c>
      <c r="AJ61" s="9">
        <f t="shared" ref="AJ61:AJ62" si="45">(((1+S61/100)/AG61)-1)*100</f>
        <v>11.787841883001215</v>
      </c>
      <c r="AK61" s="21"/>
      <c r="AL61" s="23">
        <f t="shared" ref="AL61:AL62" si="46">((1+AJ61/100)*(1+AL60/100)-1)*100</f>
        <v>347.1596119367037</v>
      </c>
      <c r="AM61" s="22">
        <f t="shared" ref="AM61:AM62" si="47">(((1+AL61/100)^(1/AN61))-1)*100</f>
        <v>2.8662430880546319</v>
      </c>
      <c r="AN61" s="24">
        <f t="shared" si="13"/>
        <v>53</v>
      </c>
      <c r="AO61" s="9"/>
      <c r="AP61" s="9">
        <f t="shared" ref="AP61:AP62" si="48">((1+AJ61/100)*(1+AP60/100)-1)*100</f>
        <v>36.102562496910636</v>
      </c>
      <c r="AQ61" s="9">
        <f t="shared" ref="AQ61:AQ62" si="49">(((1+AP61/100)^(1/AR61))-1)*100</f>
        <v>2.6019288173671828</v>
      </c>
      <c r="AR61" s="11">
        <f t="shared" si="28"/>
        <v>12</v>
      </c>
    </row>
    <row r="62" spans="1:48" x14ac:dyDescent="0.25">
      <c r="A62" s="7">
        <v>2013</v>
      </c>
      <c r="C62" s="56">
        <v>227370</v>
      </c>
      <c r="D62" s="2">
        <v>127899</v>
      </c>
      <c r="F62" s="2">
        <f t="shared" si="17"/>
        <v>355269</v>
      </c>
      <c r="H62" s="8">
        <v>253966</v>
      </c>
      <c r="I62" s="8">
        <v>1742</v>
      </c>
      <c r="J62" s="8"/>
      <c r="K62" s="8">
        <f t="shared" si="15"/>
        <v>255708</v>
      </c>
      <c r="L62" s="7"/>
      <c r="M62" s="8"/>
      <c r="N62" s="8">
        <f t="shared" ref="N62" si="50">N61+F62-K62</f>
        <v>1057551</v>
      </c>
      <c r="O62" s="8">
        <v>1057551</v>
      </c>
      <c r="P62" s="29">
        <f t="shared" si="6"/>
        <v>0</v>
      </c>
      <c r="Q62" s="5">
        <f t="shared" si="19"/>
        <v>4.135775963208034</v>
      </c>
      <c r="S62" s="9">
        <f t="shared" si="30"/>
        <v>13.551192440091924</v>
      </c>
      <c r="T62" s="22"/>
      <c r="U62" s="30"/>
      <c r="V62" s="21"/>
      <c r="W62" s="23">
        <f t="shared" si="40"/>
        <v>5823.2746104890712</v>
      </c>
      <c r="X62" s="22">
        <f t="shared" si="41"/>
        <v>7.8512591418880895</v>
      </c>
      <c r="Y62" s="24">
        <f t="shared" si="9"/>
        <v>54</v>
      </c>
      <c r="Z62" s="22"/>
      <c r="AA62" s="22">
        <f t="shared" si="42"/>
        <v>85.225687865311798</v>
      </c>
      <c r="AB62" s="22">
        <f t="shared" si="43"/>
        <v>4.8557862851624334</v>
      </c>
      <c r="AC62" s="24">
        <f t="shared" si="26"/>
        <v>13</v>
      </c>
      <c r="AD62" s="24"/>
      <c r="AE62" s="57">
        <v>315.04000000000002</v>
      </c>
      <c r="AF62" s="58"/>
      <c r="AG62" s="73">
        <f t="shared" si="44"/>
        <v>1.0013667715584376</v>
      </c>
      <c r="AJ62" s="9">
        <f t="shared" si="45"/>
        <v>13.396205731263699</v>
      </c>
      <c r="AK62" s="22"/>
      <c r="AL62" s="23">
        <f t="shared" si="46"/>
        <v>407.06203349886493</v>
      </c>
      <c r="AM62" s="22">
        <f t="shared" si="47"/>
        <v>3.0520621872878406</v>
      </c>
      <c r="AN62" s="24">
        <f t="shared" si="13"/>
        <v>54</v>
      </c>
      <c r="AO62" s="9"/>
      <c r="AP62" s="9">
        <f t="shared" si="48"/>
        <v>54.335141774518547</v>
      </c>
      <c r="AQ62" s="9">
        <f t="shared" si="49"/>
        <v>3.3944659255908283</v>
      </c>
      <c r="AR62" s="11">
        <f t="shared" si="28"/>
        <v>13</v>
      </c>
    </row>
    <row r="63" spans="1:48" x14ac:dyDescent="0.25">
      <c r="A63" s="7">
        <v>2014</v>
      </c>
      <c r="C63" s="56">
        <v>235526</v>
      </c>
      <c r="D63" s="8">
        <v>148247</v>
      </c>
      <c r="E63" s="67"/>
      <c r="F63" s="8">
        <f t="shared" ref="F63:F69" si="51">+C63+D63+E63</f>
        <v>383773</v>
      </c>
      <c r="G63" s="67"/>
      <c r="H63" s="8">
        <v>255110</v>
      </c>
      <c r="I63" s="8">
        <v>1760</v>
      </c>
      <c r="J63" s="66"/>
      <c r="K63" s="8">
        <f t="shared" ref="K63:K69" si="52">+H63+I63+J63</f>
        <v>256870</v>
      </c>
      <c r="L63" s="67"/>
      <c r="M63" s="66"/>
      <c r="N63" s="8">
        <f t="shared" ref="N63:N69" si="53">N62+F63-K63</f>
        <v>1184454</v>
      </c>
      <c r="O63" s="8">
        <v>1184454</v>
      </c>
      <c r="P63" s="29">
        <f t="shared" si="6"/>
        <v>0</v>
      </c>
      <c r="Q63" s="60">
        <f t="shared" ref="Q63:Q69" si="54">O63/(H63+I63)</f>
        <v>4.6111028925137232</v>
      </c>
      <c r="R63" s="67"/>
      <c r="S63" s="61">
        <f t="shared" ref="S63:S69" si="55">D63/(O62+(C63+E63-H63-I63-J63)/2)*100</f>
        <v>14.160853355545388</v>
      </c>
      <c r="T63" s="68"/>
      <c r="U63" s="69"/>
      <c r="V63" s="70"/>
      <c r="W63" s="63">
        <f t="shared" ref="W63" si="56">((1+S63/100)*(1+W62/100)-1)*100</f>
        <v>6662.06084192668</v>
      </c>
      <c r="X63" s="62">
        <f t="shared" ref="X63" si="57">(((1+W63/100)^(1/Y63))-1)*100</f>
        <v>7.9628063604290311</v>
      </c>
      <c r="Y63" s="64">
        <f t="shared" si="9"/>
        <v>55</v>
      </c>
      <c r="Z63" s="62"/>
      <c r="AA63" s="62">
        <f t="shared" ref="AA63" si="58">((1+S63/100)*(1+AA62/100)-1)*100</f>
        <v>111.45522590071879</v>
      </c>
      <c r="AB63" s="62">
        <f t="shared" ref="AB63" si="59">(((1+AA63/100)^(1/AC63))-1)*100</f>
        <v>5.4945168193739402</v>
      </c>
      <c r="AC63" s="64">
        <f t="shared" si="26"/>
        <v>14</v>
      </c>
      <c r="AD63" s="71"/>
      <c r="AE63" s="57">
        <v>314.05</v>
      </c>
      <c r="AF63" s="72"/>
      <c r="AG63" s="61">
        <f t="shared" ref="AG63:AG69" si="60">AE63/AE62</f>
        <v>0.99685754189944131</v>
      </c>
      <c r="AH63" s="7"/>
      <c r="AI63" s="7"/>
      <c r="AJ63" s="61">
        <f t="shared" ref="AJ63" si="61">(((1+S63/100)/AG63)-1)*100</f>
        <v>14.520729951061995</v>
      </c>
      <c r="AK63" s="62"/>
      <c r="AL63" s="63">
        <f t="shared" ref="AL63" si="62">((1+AJ63/100)*(1+AL62/100)-1)*100</f>
        <v>480.69114206759861</v>
      </c>
      <c r="AM63" s="62">
        <f t="shared" ref="AM63" si="63">(((1+AL63/100)^(1/AN63))-1)*100</f>
        <v>3.2499649146580101</v>
      </c>
      <c r="AN63" s="64">
        <f t="shared" si="13"/>
        <v>55</v>
      </c>
      <c r="AO63" s="61"/>
      <c r="AP63" s="61">
        <f t="shared" ref="AP63" si="64">((1+AJ63/100)*(1+AP62/100)-1)*100</f>
        <v>76.745730931185065</v>
      </c>
      <c r="AQ63" s="61">
        <f t="shared" ref="AQ63" si="65">(((1+AP63/100)^(1/AR63))-1)*100</f>
        <v>4.1520400304670968</v>
      </c>
      <c r="AR63" s="65">
        <f t="shared" si="28"/>
        <v>14</v>
      </c>
    </row>
    <row r="64" spans="1:48" x14ac:dyDescent="0.25">
      <c r="A64" s="7">
        <v>2015</v>
      </c>
      <c r="C64" s="56">
        <v>245503</v>
      </c>
      <c r="D64" s="8">
        <v>66531</v>
      </c>
      <c r="E64" s="67"/>
      <c r="F64" s="8">
        <f t="shared" si="51"/>
        <v>312034</v>
      </c>
      <c r="G64" s="67"/>
      <c r="H64" s="8">
        <v>264577</v>
      </c>
      <c r="I64" s="8">
        <v>1617</v>
      </c>
      <c r="J64" s="66"/>
      <c r="K64" s="8">
        <f t="shared" si="52"/>
        <v>266194</v>
      </c>
      <c r="L64" s="67"/>
      <c r="M64" s="66"/>
      <c r="N64" s="8">
        <f t="shared" si="53"/>
        <v>1230294</v>
      </c>
      <c r="O64" s="8">
        <v>1230294</v>
      </c>
      <c r="P64" s="29">
        <f t="shared" si="6"/>
        <v>0</v>
      </c>
      <c r="Q64" s="60">
        <f t="shared" si="54"/>
        <v>4.6217946309834179</v>
      </c>
      <c r="R64" s="67"/>
      <c r="S64" s="61">
        <f t="shared" si="55"/>
        <v>5.6665120812940204</v>
      </c>
      <c r="T64" s="68"/>
      <c r="U64" s="69"/>
      <c r="V64" s="70"/>
      <c r="W64" s="63">
        <f t="shared" ref="W64" si="66">((1+S64/100)*(1+W63/100)-1)*100</f>
        <v>7045.2338364789084</v>
      </c>
      <c r="X64" s="62">
        <f t="shared" ref="X64" si="67">(((1+W64/100)^(1/Y64))-1)*100</f>
        <v>7.9213666999993437</v>
      </c>
      <c r="Y64" s="64">
        <f t="shared" si="9"/>
        <v>56</v>
      </c>
      <c r="Z64" s="62"/>
      <c r="AA64" s="62">
        <f t="shared" ref="AA64" si="68">((1+S64/100)*(1+AA63/100)-1)*100</f>
        <v>123.43736182291059</v>
      </c>
      <c r="AB64" s="62">
        <f t="shared" ref="AB64" si="69">(((1+AA64/100)^(1/AC64))-1)*100</f>
        <v>5.5059744552647505</v>
      </c>
      <c r="AC64" s="64">
        <f t="shared" si="26"/>
        <v>15</v>
      </c>
      <c r="AD64" s="71"/>
      <c r="AE64" s="57">
        <v>314.20999999999998</v>
      </c>
      <c r="AF64" s="72"/>
      <c r="AG64" s="61">
        <f t="shared" si="60"/>
        <v>1.0005094730138513</v>
      </c>
      <c r="AH64" s="7"/>
      <c r="AI64" s="7"/>
      <c r="AJ64" s="61">
        <f t="shared" ref="AJ64" si="70">(((1+S64/100)/AG64)-1)*100</f>
        <v>5.6127052580452252</v>
      </c>
      <c r="AK64" s="62"/>
      <c r="AL64" s="63">
        <f t="shared" ref="AL64" si="71">((1+AJ64/100)*(1+AL63/100)-1)*100</f>
        <v>513.28362433142956</v>
      </c>
      <c r="AM64" s="62">
        <f t="shared" ref="AM64" si="72">(((1+AL64/100)^(1/AN64))-1)*100</f>
        <v>3.2916896236553139</v>
      </c>
      <c r="AN64" s="64">
        <f t="shared" si="13"/>
        <v>56</v>
      </c>
      <c r="AO64" s="61"/>
      <c r="AP64" s="61">
        <f t="shared" ref="AP64" si="73">((1+AJ64/100)*(1+AP63/100)-1)*100</f>
        <v>86.665947864530153</v>
      </c>
      <c r="AQ64" s="61">
        <f t="shared" ref="AQ64" si="74">(((1+AP64/100)^(1/AR64))-1)*100</f>
        <v>4.2487861060114041</v>
      </c>
      <c r="AR64" s="65">
        <f t="shared" si="28"/>
        <v>15</v>
      </c>
    </row>
    <row r="65" spans="1:44" x14ac:dyDescent="0.25">
      <c r="A65" s="7">
        <v>2016</v>
      </c>
      <c r="C65" s="56">
        <v>256700</v>
      </c>
      <c r="D65" s="8">
        <v>118633</v>
      </c>
      <c r="E65" s="67"/>
      <c r="F65" s="8">
        <f t="shared" si="51"/>
        <v>375333</v>
      </c>
      <c r="G65" s="67"/>
      <c r="H65" s="8">
        <v>282384</v>
      </c>
      <c r="I65" s="8">
        <v>1753</v>
      </c>
      <c r="J65" s="66"/>
      <c r="K65" s="8">
        <f t="shared" si="52"/>
        <v>284137</v>
      </c>
      <c r="L65" s="67"/>
      <c r="M65" s="66"/>
      <c r="N65" s="8">
        <f t="shared" si="53"/>
        <v>1321490</v>
      </c>
      <c r="O65" s="8">
        <v>1321490</v>
      </c>
      <c r="P65" s="29">
        <f t="shared" si="6"/>
        <v>0</v>
      </c>
      <c r="Q65" s="60">
        <f t="shared" si="54"/>
        <v>4.6508902395675324</v>
      </c>
      <c r="R65" s="67"/>
      <c r="S65" s="61">
        <f t="shared" si="55"/>
        <v>9.7513882204598072</v>
      </c>
      <c r="T65" s="68"/>
      <c r="U65" s="69"/>
      <c r="V65" s="70"/>
      <c r="W65" s="63">
        <f t="shared" ref="W65:W69" si="75">((1+S65/100)*(1+W64/100)-1)*100</f>
        <v>7741.9933271336204</v>
      </c>
      <c r="X65" s="62">
        <f t="shared" ref="X65:X69" si="76">(((1+W65/100)^(1/Y65))-1)*100</f>
        <v>7.953207868091372</v>
      </c>
      <c r="Y65" s="64">
        <f t="shared" si="9"/>
        <v>57</v>
      </c>
      <c r="Z65" s="62"/>
      <c r="AA65" s="62">
        <f t="shared" ref="AA65:AA69" si="77">((1+S65/100)*(1+AA64/100)-1)*100</f>
        <v>145.22560640381604</v>
      </c>
      <c r="AB65" s="62">
        <f t="shared" ref="AB65:AB69" si="78">(((1+AA65/100)^(1/AC65))-1)*100</f>
        <v>5.7664343793833339</v>
      </c>
      <c r="AC65" s="64">
        <f t="shared" si="26"/>
        <v>16</v>
      </c>
      <c r="AD65" s="71"/>
      <c r="AE65" s="57">
        <v>319.68</v>
      </c>
      <c r="AF65" s="72"/>
      <c r="AG65" s="61">
        <f t="shared" si="60"/>
        <v>1.017408739378123</v>
      </c>
      <c r="AH65" s="7"/>
      <c r="AI65" s="7"/>
      <c r="AJ65" s="61">
        <f t="shared" ref="AJ65:AJ69" si="79">(((1+S65/100)/AG65)-1)*100</f>
        <v>7.873447487333185</v>
      </c>
      <c r="AK65" s="62"/>
      <c r="AL65" s="63">
        <f t="shared" ref="AL65:AL69" si="80">((1+AJ65/100)*(1+AL64/100)-1)*100</f>
        <v>561.57018844157847</v>
      </c>
      <c r="AM65" s="62">
        <f t="shared" ref="AM65:AM69" si="81">(((1+AL65/100)^(1/AN65))-1)*100</f>
        <v>3.3703695523148891</v>
      </c>
      <c r="AN65" s="64">
        <f t="shared" si="13"/>
        <v>57</v>
      </c>
      <c r="AO65" s="61"/>
      <c r="AP65" s="61">
        <f t="shared" ref="AP65:AP69" si="82">((1+AJ65/100)*(1+AP64/100)-1)*100</f>
        <v>101.36299324637665</v>
      </c>
      <c r="AQ65" s="61">
        <f t="shared" ref="AQ65:AQ69" si="83">(((1+AP65/100)^(1/AR65))-1)*100</f>
        <v>4.4717160911774689</v>
      </c>
      <c r="AR65" s="65">
        <f t="shared" si="28"/>
        <v>16</v>
      </c>
    </row>
    <row r="66" spans="1:44" x14ac:dyDescent="0.25">
      <c r="A66" s="7">
        <v>2017</v>
      </c>
      <c r="C66" s="56">
        <v>267407</v>
      </c>
      <c r="D66" s="8">
        <v>120859</v>
      </c>
      <c r="E66" s="67"/>
      <c r="F66" s="8">
        <f t="shared" si="51"/>
        <v>388266</v>
      </c>
      <c r="G66" s="67"/>
      <c r="H66" s="8">
        <v>296001</v>
      </c>
      <c r="I66" s="8">
        <v>1859</v>
      </c>
      <c r="J66" s="66"/>
      <c r="K66" s="8">
        <f t="shared" si="52"/>
        <v>297860</v>
      </c>
      <c r="L66" s="67"/>
      <c r="M66" s="66"/>
      <c r="N66" s="8">
        <f t="shared" si="53"/>
        <v>1411896</v>
      </c>
      <c r="O66" s="8">
        <v>1411896</v>
      </c>
      <c r="P66" s="29">
        <f t="shared" si="6"/>
        <v>0</v>
      </c>
      <c r="Q66" s="60">
        <f t="shared" si="54"/>
        <v>4.7401329483650034</v>
      </c>
      <c r="R66" s="67"/>
      <c r="S66" s="61">
        <f t="shared" si="55"/>
        <v>9.2522680148377425</v>
      </c>
      <c r="T66" s="68"/>
      <c r="U66" s="69"/>
      <c r="V66" s="70"/>
      <c r="W66" s="63">
        <f t="shared" si="75"/>
        <v>8467.5555674657153</v>
      </c>
      <c r="X66" s="62">
        <f t="shared" si="76"/>
        <v>7.9754740630074705</v>
      </c>
      <c r="Y66" s="64">
        <f t="shared" si="9"/>
        <v>58</v>
      </c>
      <c r="Z66" s="62"/>
      <c r="AA66" s="62">
        <f t="shared" si="77"/>
        <v>167.91453674930824</v>
      </c>
      <c r="AB66" s="62">
        <f t="shared" si="78"/>
        <v>5.9683694120244324</v>
      </c>
      <c r="AC66" s="64">
        <f t="shared" si="26"/>
        <v>17</v>
      </c>
      <c r="AD66" s="71"/>
      <c r="AE66" s="57">
        <v>325.23</v>
      </c>
      <c r="AF66" s="72"/>
      <c r="AG66" s="61">
        <f t="shared" si="60"/>
        <v>1.0173611111111112</v>
      </c>
      <c r="AH66" s="7"/>
      <c r="AI66" s="7"/>
      <c r="AJ66" s="61">
        <f t="shared" si="79"/>
        <v>7.3878948405230904</v>
      </c>
      <c r="AK66" s="62"/>
      <c r="AL66" s="63">
        <f t="shared" si="80"/>
        <v>610.44629825989273</v>
      </c>
      <c r="AM66" s="62">
        <f t="shared" si="81"/>
        <v>3.4383474059794583</v>
      </c>
      <c r="AN66" s="64">
        <f t="shared" si="13"/>
        <v>58</v>
      </c>
      <c r="AO66" s="61"/>
      <c r="AP66" s="61">
        <f t="shared" si="82"/>
        <v>116.23947943514858</v>
      </c>
      <c r="AQ66" s="61">
        <f t="shared" si="83"/>
        <v>4.6410425850707648</v>
      </c>
      <c r="AR66" s="65">
        <f t="shared" si="28"/>
        <v>17</v>
      </c>
    </row>
    <row r="67" spans="1:44" x14ac:dyDescent="0.25">
      <c r="A67" s="7">
        <v>2018</v>
      </c>
      <c r="C67" s="56">
        <v>278217</v>
      </c>
      <c r="D67" s="8">
        <v>-729</v>
      </c>
      <c r="E67" s="67"/>
      <c r="F67" s="8">
        <f t="shared" si="51"/>
        <v>277488</v>
      </c>
      <c r="G67" s="67"/>
      <c r="H67" s="8">
        <v>304444</v>
      </c>
      <c r="I67" s="8">
        <v>1821</v>
      </c>
      <c r="J67" s="66"/>
      <c r="K67" s="8">
        <f t="shared" si="52"/>
        <v>306265</v>
      </c>
      <c r="L67" s="67"/>
      <c r="M67" s="66"/>
      <c r="N67" s="8">
        <f t="shared" si="53"/>
        <v>1383119</v>
      </c>
      <c r="O67" s="8">
        <v>1383120</v>
      </c>
      <c r="P67" s="29">
        <f t="shared" si="6"/>
        <v>-1</v>
      </c>
      <c r="Q67" s="60">
        <f t="shared" si="54"/>
        <v>4.516089007885328</v>
      </c>
      <c r="R67" s="67"/>
      <c r="S67" s="61">
        <f t="shared" si="55"/>
        <v>-5.2150697631828946E-2</v>
      </c>
      <c r="T67" s="68"/>
      <c r="U67" s="69"/>
      <c r="V67" s="70"/>
      <c r="W67" s="63">
        <f t="shared" si="75"/>
        <v>8463.0875274672871</v>
      </c>
      <c r="X67" s="62">
        <f t="shared" si="76"/>
        <v>7.8341817341992304</v>
      </c>
      <c r="Y67" s="64">
        <f t="shared" si="9"/>
        <v>59</v>
      </c>
      <c r="Z67" s="62"/>
      <c r="AA67" s="62">
        <f t="shared" si="77"/>
        <v>167.77481744933641</v>
      </c>
      <c r="AB67" s="62">
        <f t="shared" si="78"/>
        <v>5.6245775802065578</v>
      </c>
      <c r="AC67" s="64">
        <f t="shared" si="26"/>
        <v>18</v>
      </c>
      <c r="AD67" s="71"/>
      <c r="AE67" s="57">
        <v>331.87</v>
      </c>
      <c r="AF67" s="72"/>
      <c r="AG67" s="61">
        <f t="shared" si="60"/>
        <v>1.0204163207576176</v>
      </c>
      <c r="AH67" s="7"/>
      <c r="AI67" s="7"/>
      <c r="AJ67" s="61">
        <f t="shared" si="79"/>
        <v>-2.0518907144086329</v>
      </c>
      <c r="AK67" s="62"/>
      <c r="AL67" s="63">
        <f t="shared" si="80"/>
        <v>595.86871663503814</v>
      </c>
      <c r="AM67" s="62">
        <f t="shared" si="81"/>
        <v>3.3427761273943091</v>
      </c>
      <c r="AN67" s="64">
        <f t="shared" si="13"/>
        <v>59</v>
      </c>
      <c r="AO67" s="61"/>
      <c r="AP67" s="61">
        <f t="shared" si="82"/>
        <v>111.80248163573322</v>
      </c>
      <c r="AQ67" s="61">
        <f t="shared" si="83"/>
        <v>4.2574936409231379</v>
      </c>
      <c r="AR67" s="65">
        <f t="shared" si="28"/>
        <v>18</v>
      </c>
    </row>
    <row r="68" spans="1:44" x14ac:dyDescent="0.25">
      <c r="A68" s="7">
        <v>2019</v>
      </c>
      <c r="C68" s="56">
        <v>289386</v>
      </c>
      <c r="D68" s="8">
        <v>240318</v>
      </c>
      <c r="E68" s="67"/>
      <c r="F68" s="8">
        <f t="shared" si="51"/>
        <v>529704</v>
      </c>
      <c r="G68" s="67"/>
      <c r="H68" s="8">
        <v>314724</v>
      </c>
      <c r="I68" s="8">
        <v>1757</v>
      </c>
      <c r="J68" s="66"/>
      <c r="K68" s="8">
        <f t="shared" si="52"/>
        <v>316481</v>
      </c>
      <c r="L68" s="67"/>
      <c r="M68" s="66"/>
      <c r="N68" s="8">
        <f t="shared" si="53"/>
        <v>1596342</v>
      </c>
      <c r="O68" s="8">
        <v>1596342</v>
      </c>
      <c r="P68" s="29">
        <f t="shared" si="6"/>
        <v>1</v>
      </c>
      <c r="Q68" s="60">
        <f t="shared" si="54"/>
        <v>5.0440373987695946</v>
      </c>
      <c r="R68" s="67"/>
      <c r="S68" s="61">
        <f t="shared" si="55"/>
        <v>17.5469352662966</v>
      </c>
      <c r="T68" s="68"/>
      <c r="U68" s="69"/>
      <c r="V68" s="70"/>
      <c r="W68" s="63">
        <f t="shared" si="75"/>
        <v>9965.64695270829</v>
      </c>
      <c r="X68" s="62">
        <f t="shared" si="76"/>
        <v>7.9892922576241698</v>
      </c>
      <c r="Y68" s="64">
        <f t="shared" si="9"/>
        <v>60</v>
      </c>
      <c r="Z68" s="62"/>
      <c r="AA68" s="62">
        <f t="shared" si="77"/>
        <v>214.76109132661537</v>
      </c>
      <c r="AB68" s="62">
        <f t="shared" si="78"/>
        <v>6.2207903564770906</v>
      </c>
      <c r="AC68" s="64">
        <f t="shared" si="26"/>
        <v>19</v>
      </c>
      <c r="AD68" s="71"/>
      <c r="AE68" s="57">
        <v>337.68</v>
      </c>
      <c r="AF68" s="72"/>
      <c r="AG68" s="61">
        <f t="shared" si="60"/>
        <v>1.017506855093862</v>
      </c>
      <c r="AH68" s="7"/>
      <c r="AI68" s="7"/>
      <c r="AJ68" s="61">
        <f t="shared" si="79"/>
        <v>15.524465194343339</v>
      </c>
      <c r="AK68" s="62"/>
      <c r="AL68" s="63">
        <f t="shared" si="80"/>
        <v>703.89861334736827</v>
      </c>
      <c r="AM68" s="62">
        <f t="shared" si="81"/>
        <v>3.5348808385373465</v>
      </c>
      <c r="AN68" s="64">
        <f t="shared" si="13"/>
        <v>60</v>
      </c>
      <c r="AO68" s="61"/>
      <c r="AP68" s="61">
        <f t="shared" si="82"/>
        <v>144.68368417802805</v>
      </c>
      <c r="AQ68" s="61">
        <f t="shared" si="83"/>
        <v>4.8221094689329558</v>
      </c>
      <c r="AR68" s="65">
        <f t="shared" si="28"/>
        <v>19</v>
      </c>
    </row>
    <row r="69" spans="1:44" x14ac:dyDescent="0.25">
      <c r="A69" s="7">
        <v>2020</v>
      </c>
      <c r="C69" s="56">
        <v>295499</v>
      </c>
      <c r="D69" s="8">
        <v>132722</v>
      </c>
      <c r="E69" s="67"/>
      <c r="F69" s="8">
        <f t="shared" si="51"/>
        <v>428221</v>
      </c>
      <c r="G69" s="67"/>
      <c r="H69" s="8">
        <v>326266</v>
      </c>
      <c r="I69" s="8">
        <v>1856</v>
      </c>
      <c r="J69" s="66"/>
      <c r="K69" s="8">
        <f t="shared" si="52"/>
        <v>328122</v>
      </c>
      <c r="L69" s="67"/>
      <c r="M69" s="66"/>
      <c r="N69" s="8">
        <f t="shared" si="53"/>
        <v>1696441</v>
      </c>
      <c r="O69" s="8">
        <v>1696441</v>
      </c>
      <c r="P69" s="29">
        <f t="shared" si="6"/>
        <v>0</v>
      </c>
      <c r="Q69" s="60">
        <f t="shared" si="54"/>
        <v>5.1701531747337883</v>
      </c>
      <c r="R69" s="67"/>
      <c r="S69" s="61">
        <f t="shared" si="55"/>
        <v>8.3999644310663619</v>
      </c>
      <c r="T69" s="68"/>
      <c r="U69" s="69"/>
      <c r="V69" s="70"/>
      <c r="W69" s="63">
        <f t="shared" si="75"/>
        <v>10811.157716492502</v>
      </c>
      <c r="X69" s="62">
        <f t="shared" si="76"/>
        <v>7.9960120285822001</v>
      </c>
      <c r="Y69" s="64">
        <f t="shared" si="9"/>
        <v>61</v>
      </c>
      <c r="Z69" s="62"/>
      <c r="AA69" s="62">
        <f t="shared" si="77"/>
        <v>241.20091104088738</v>
      </c>
      <c r="AB69" s="62">
        <f t="shared" si="78"/>
        <v>6.3287012201353354</v>
      </c>
      <c r="AC69" s="64">
        <f t="shared" si="26"/>
        <v>20</v>
      </c>
      <c r="AD69" s="71"/>
      <c r="AE69" s="57">
        <v>339.34</v>
      </c>
      <c r="AF69" s="72"/>
      <c r="AG69" s="61">
        <f t="shared" si="60"/>
        <v>1.0049158967069414</v>
      </c>
      <c r="AH69" s="7"/>
      <c r="AI69" s="7"/>
      <c r="AJ69" s="61">
        <f t="shared" si="79"/>
        <v>7.8696881861333612</v>
      </c>
      <c r="AK69" s="62"/>
      <c r="AL69" s="63">
        <f t="shared" si="80"/>
        <v>767.16292755045595</v>
      </c>
      <c r="AM69" s="62">
        <f t="shared" si="81"/>
        <v>3.6045193005966647</v>
      </c>
      <c r="AN69" s="64">
        <f t="shared" si="13"/>
        <v>61</v>
      </c>
      <c r="AO69" s="61"/>
      <c r="AP69" s="61">
        <f t="shared" si="82"/>
        <v>163.9395271651822</v>
      </c>
      <c r="AQ69" s="61">
        <f t="shared" si="83"/>
        <v>4.9724229767773576</v>
      </c>
      <c r="AR69" s="65">
        <f t="shared" si="28"/>
        <v>20</v>
      </c>
    </row>
    <row r="70" spans="1:44" x14ac:dyDescent="0.25"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5"/>
      <c r="AF70" s="21"/>
      <c r="AG70" s="21"/>
      <c r="AH70" s="21"/>
      <c r="AI70" s="21"/>
      <c r="AJ70" s="21"/>
      <c r="AK70" s="21"/>
      <c r="AL70" s="21"/>
      <c r="AM70" s="21"/>
      <c r="AN70" s="21"/>
    </row>
    <row r="71" spans="1:44" x14ac:dyDescent="0.25">
      <c r="A71" t="s">
        <v>39</v>
      </c>
      <c r="C71" s="7" t="s">
        <v>95</v>
      </c>
      <c r="D71" s="12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2"/>
      <c r="AK71" s="21"/>
    </row>
    <row r="72" spans="1:44" x14ac:dyDescent="0.25">
      <c r="D72" s="13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</row>
    <row r="73" spans="1:44" x14ac:dyDescent="0.25">
      <c r="K73" s="2"/>
      <c r="N73" s="2"/>
      <c r="O73" s="2"/>
    </row>
  </sheetData>
  <phoneticPr fontId="0" type="noConversion"/>
  <pageMargins left="0.75" right="0.75" top="1" bottom="1" header="0.5" footer="0.5"/>
  <pageSetup paperSize="9" scale="43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AP-fonderna</vt:lpstr>
      <vt:lpstr>Tabell AP-fonderna</vt:lpstr>
      <vt:lpstr>Tabell avgifter</vt:lpstr>
      <vt:lpstr>Beräkning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Karlsson</dc:creator>
  <cp:lastModifiedBy>Karl Birkholz</cp:lastModifiedBy>
  <cp:lastPrinted>2013-03-27T09:25:15Z</cp:lastPrinted>
  <dcterms:created xsi:type="dcterms:W3CDTF">2003-11-17T12:59:18Z</dcterms:created>
  <dcterms:modified xsi:type="dcterms:W3CDTF">2021-08-09T11:57:43Z</dcterms:modified>
</cp:coreProperties>
</file>